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magnuski\Downloads\"/>
    </mc:Choice>
  </mc:AlternateContent>
  <xr:revisionPtr revIDLastSave="0" documentId="8_{61C77A7C-33B1-4D7B-80E0-12785053B057}" xr6:coauthVersionLast="47" xr6:coauthVersionMax="47" xr10:uidLastSave="{00000000-0000-0000-0000-000000000000}"/>
  <bookViews>
    <workbookView xWindow="-120" yWindow="-120" windowWidth="29040" windowHeight="15720" xr2:uid="{B5AE9A05-A279-49EF-9F0E-0DD2A93E00FD}"/>
  </bookViews>
  <sheets>
    <sheet name="PERISTALTIC PUMP TUBING SIZE " sheetId="1" r:id="rId1"/>
    <sheet name="TUBE GU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1" l="1"/>
  <c r="K24" i="1" l="1"/>
  <c r="S22" i="1" l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8" i="1"/>
  <c r="T14" i="1"/>
  <c r="S19" i="1"/>
  <c r="S20" i="1"/>
  <c r="S21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8" i="1"/>
  <c r="K19" i="1"/>
  <c r="K20" i="1"/>
  <c r="K21" i="1"/>
  <c r="K22" i="1"/>
  <c r="L22" i="1" s="1"/>
  <c r="K23" i="1"/>
  <c r="K25" i="1"/>
  <c r="K26" i="1"/>
  <c r="K27" i="1"/>
  <c r="K28" i="1"/>
  <c r="K29" i="1"/>
  <c r="K30" i="1"/>
  <c r="K31" i="1"/>
  <c r="K32" i="1"/>
  <c r="K33" i="1"/>
  <c r="K34" i="1"/>
  <c r="L34" i="1" s="1"/>
  <c r="K35" i="1"/>
  <c r="K36" i="1"/>
  <c r="K37" i="1"/>
  <c r="K38" i="1"/>
  <c r="K39" i="1"/>
  <c r="K40" i="1"/>
  <c r="K41" i="1"/>
  <c r="K42" i="1"/>
  <c r="K43" i="1"/>
  <c r="K44" i="1"/>
  <c r="K45" i="1"/>
  <c r="L45" i="1" s="1"/>
  <c r="K46" i="1"/>
  <c r="K47" i="1"/>
  <c r="K48" i="1"/>
  <c r="K49" i="1"/>
  <c r="L49" i="1" s="1"/>
  <c r="K50" i="1"/>
  <c r="L50" i="1" s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L66" i="1" s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L98" i="1" s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8" i="1"/>
  <c r="P28" i="1" s="1"/>
  <c r="O31" i="1"/>
  <c r="P31" i="1" s="1"/>
  <c r="O32" i="1"/>
  <c r="P32" i="1" s="1"/>
  <c r="O34" i="1"/>
  <c r="P34" i="1" s="1"/>
  <c r="O35" i="1"/>
  <c r="P35" i="1" s="1"/>
  <c r="O36" i="1"/>
  <c r="P36" i="1" s="1"/>
  <c r="O37" i="1"/>
  <c r="P37" i="1" s="1"/>
  <c r="O39" i="1"/>
  <c r="P39" i="1" s="1"/>
  <c r="O40" i="1"/>
  <c r="P40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5" i="1"/>
  <c r="P55" i="1" s="1"/>
  <c r="O56" i="1"/>
  <c r="P56" i="1" s="1"/>
  <c r="O60" i="1"/>
  <c r="P60" i="1" s="1"/>
  <c r="O63" i="1"/>
  <c r="P63" i="1" s="1"/>
  <c r="O64" i="1"/>
  <c r="P64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6" i="1"/>
  <c r="P76" i="1" s="1"/>
  <c r="O79" i="1"/>
  <c r="P79" i="1" s="1"/>
  <c r="O80" i="1"/>
  <c r="P80" i="1" s="1"/>
  <c r="O84" i="1"/>
  <c r="P84" i="1" s="1"/>
  <c r="O87" i="1"/>
  <c r="P87" i="1" s="1"/>
  <c r="O88" i="1"/>
  <c r="P88" i="1" s="1"/>
  <c r="O92" i="1"/>
  <c r="P92" i="1" s="1"/>
  <c r="O95" i="1"/>
  <c r="P95" i="1" s="1"/>
  <c r="O96" i="1"/>
  <c r="P96" i="1" s="1"/>
  <c r="O98" i="1"/>
  <c r="P98" i="1" s="1"/>
  <c r="O99" i="1"/>
  <c r="P99" i="1" s="1"/>
  <c r="O100" i="1"/>
  <c r="P100" i="1" s="1"/>
  <c r="O103" i="1"/>
  <c r="P103" i="1" s="1"/>
  <c r="O104" i="1"/>
  <c r="P104" i="1" s="1"/>
  <c r="O108" i="1"/>
  <c r="P108" i="1" s="1"/>
  <c r="O111" i="1"/>
  <c r="P111" i="1" s="1"/>
  <c r="P14" i="1"/>
  <c r="O18" i="1"/>
  <c r="P18" i="1" s="1"/>
  <c r="L14" i="1"/>
  <c r="K18" i="1"/>
  <c r="L18" i="1" s="1"/>
  <c r="K14" i="1"/>
  <c r="H18" i="1"/>
  <c r="H19" i="1"/>
  <c r="H20" i="1"/>
  <c r="H21" i="1"/>
  <c r="H22" i="1"/>
  <c r="H23" i="1"/>
  <c r="H24" i="1"/>
  <c r="H25" i="1"/>
  <c r="H26" i="1"/>
  <c r="G27" i="1"/>
  <c r="H27" i="1" s="1"/>
  <c r="G28" i="1"/>
  <c r="G29" i="1"/>
  <c r="H29" i="1" s="1"/>
  <c r="G30" i="1"/>
  <c r="H30" i="1" s="1"/>
  <c r="G31" i="1"/>
  <c r="H31" i="1" s="1"/>
  <c r="G32" i="1"/>
  <c r="H32" i="1" s="1"/>
  <c r="G33" i="1"/>
  <c r="H33" i="1" s="1"/>
  <c r="H34" i="1"/>
  <c r="H35" i="1"/>
  <c r="H36" i="1"/>
  <c r="H37" i="1"/>
  <c r="G38" i="1"/>
  <c r="G39" i="1"/>
  <c r="G40" i="1"/>
  <c r="G41" i="1"/>
  <c r="G42" i="1"/>
  <c r="G43" i="1"/>
  <c r="O43" i="1" s="1"/>
  <c r="P43" i="1" s="1"/>
  <c r="G44" i="1"/>
  <c r="H45" i="1"/>
  <c r="H46" i="1"/>
  <c r="H47" i="1"/>
  <c r="H48" i="1"/>
  <c r="H49" i="1"/>
  <c r="H50" i="1"/>
  <c r="H51" i="1"/>
  <c r="H52" i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H66" i="1"/>
  <c r="H67" i="1"/>
  <c r="H68" i="1"/>
  <c r="H69" i="1"/>
  <c r="H70" i="1"/>
  <c r="H71" i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111" i="1"/>
  <c r="H111" i="1" s="1"/>
  <c r="G110" i="1"/>
  <c r="G109" i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98" i="1"/>
  <c r="H99" i="1"/>
  <c r="H100" i="1"/>
  <c r="G96" i="1"/>
  <c r="H96" i="1" s="1"/>
  <c r="G97" i="1"/>
  <c r="H97" i="1" s="1"/>
  <c r="G101" i="1"/>
  <c r="H101" i="1" s="1"/>
  <c r="L102" i="1" l="1"/>
  <c r="L42" i="1"/>
  <c r="L40" i="1"/>
  <c r="L41" i="1"/>
  <c r="L109" i="1"/>
  <c r="L110" i="1"/>
  <c r="O106" i="1"/>
  <c r="P106" i="1" s="1"/>
  <c r="O90" i="1"/>
  <c r="P90" i="1" s="1"/>
  <c r="O82" i="1"/>
  <c r="P82" i="1" s="1"/>
  <c r="O74" i="1"/>
  <c r="P74" i="1" s="1"/>
  <c r="O58" i="1"/>
  <c r="P58" i="1" s="1"/>
  <c r="O42" i="1"/>
  <c r="P42" i="1" s="1"/>
  <c r="L52" i="1"/>
  <c r="O105" i="1"/>
  <c r="P105" i="1" s="1"/>
  <c r="O97" i="1"/>
  <c r="P97" i="1" s="1"/>
  <c r="O89" i="1"/>
  <c r="P89" i="1" s="1"/>
  <c r="O81" i="1"/>
  <c r="P81" i="1" s="1"/>
  <c r="O73" i="1"/>
  <c r="P73" i="1" s="1"/>
  <c r="O65" i="1"/>
  <c r="P65" i="1" s="1"/>
  <c r="O57" i="1"/>
  <c r="P57" i="1" s="1"/>
  <c r="O41" i="1"/>
  <c r="P41" i="1" s="1"/>
  <c r="O33" i="1"/>
  <c r="P33" i="1" s="1"/>
  <c r="O110" i="1"/>
  <c r="P110" i="1" s="1"/>
  <c r="O102" i="1"/>
  <c r="P102" i="1" s="1"/>
  <c r="O94" i="1"/>
  <c r="P94" i="1" s="1"/>
  <c r="O86" i="1"/>
  <c r="P86" i="1" s="1"/>
  <c r="O78" i="1"/>
  <c r="P78" i="1" s="1"/>
  <c r="O62" i="1"/>
  <c r="P62" i="1" s="1"/>
  <c r="O54" i="1"/>
  <c r="P54" i="1" s="1"/>
  <c r="O38" i="1"/>
  <c r="P38" i="1" s="1"/>
  <c r="O30" i="1"/>
  <c r="P30" i="1" s="1"/>
  <c r="O109" i="1"/>
  <c r="P109" i="1" s="1"/>
  <c r="O101" i="1"/>
  <c r="P101" i="1" s="1"/>
  <c r="O93" i="1"/>
  <c r="P93" i="1" s="1"/>
  <c r="O85" i="1"/>
  <c r="P85" i="1" s="1"/>
  <c r="O77" i="1"/>
  <c r="P77" i="1" s="1"/>
  <c r="O61" i="1"/>
  <c r="P61" i="1" s="1"/>
  <c r="O53" i="1"/>
  <c r="P53" i="1" s="1"/>
  <c r="O29" i="1"/>
  <c r="P29" i="1" s="1"/>
  <c r="L99" i="1"/>
  <c r="O107" i="1"/>
  <c r="P107" i="1" s="1"/>
  <c r="O91" i="1"/>
  <c r="P91" i="1" s="1"/>
  <c r="O83" i="1"/>
  <c r="P83" i="1" s="1"/>
  <c r="O75" i="1"/>
  <c r="P75" i="1" s="1"/>
  <c r="O59" i="1"/>
  <c r="P59" i="1" s="1"/>
  <c r="O27" i="1"/>
  <c r="P27" i="1" s="1"/>
  <c r="L25" i="1"/>
  <c r="L24" i="1"/>
  <c r="L71" i="1"/>
  <c r="L47" i="1"/>
  <c r="L23" i="1"/>
  <c r="L48" i="1"/>
  <c r="L70" i="1"/>
  <c r="L46" i="1"/>
  <c r="L38" i="1"/>
  <c r="L26" i="1"/>
  <c r="L69" i="1"/>
  <c r="L37" i="1"/>
  <c r="L21" i="1"/>
  <c r="L68" i="1"/>
  <c r="L36" i="1"/>
  <c r="L20" i="1"/>
  <c r="L100" i="1"/>
  <c r="L67" i="1"/>
  <c r="L51" i="1"/>
  <c r="L35" i="1"/>
  <c r="L19" i="1"/>
  <c r="H109" i="1"/>
  <c r="H110" i="1"/>
  <c r="H102" i="1"/>
  <c r="L39" i="1" l="1"/>
  <c r="L53" i="1"/>
  <c r="L33" i="1"/>
  <c r="L80" i="1"/>
  <c r="L61" i="1"/>
  <c r="L28" i="1"/>
  <c r="L83" i="1"/>
  <c r="L77" i="1"/>
  <c r="L62" i="1"/>
  <c r="L79" i="1"/>
  <c r="L65" i="1"/>
  <c r="L44" i="1"/>
  <c r="L72" i="1"/>
  <c r="L82" i="1"/>
  <c r="L27" i="1"/>
  <c r="L108" i="1"/>
  <c r="L31" i="1"/>
  <c r="L97" i="1"/>
  <c r="L76" i="1"/>
  <c r="L43" i="1"/>
  <c r="L55" i="1"/>
  <c r="L90" i="1"/>
  <c r="L54" i="1"/>
  <c r="L85" i="1"/>
  <c r="L73" i="1"/>
  <c r="L84" i="1"/>
  <c r="L92" i="1"/>
  <c r="L111" i="1"/>
  <c r="L88" i="1"/>
  <c r="L29" i="1"/>
  <c r="L96" i="1"/>
  <c r="L58" i="1"/>
  <c r="L30" i="1"/>
  <c r="L106" i="1"/>
  <c r="L75" i="1"/>
  <c r="L57" i="1"/>
  <c r="L91" i="1"/>
  <c r="L78" i="1"/>
  <c r="L107" i="1"/>
  <c r="L93" i="1"/>
  <c r="L86" i="1"/>
  <c r="L95" i="1"/>
  <c r="L81" i="1"/>
  <c r="L32" i="1"/>
  <c r="L64" i="1"/>
  <c r="L104" i="1"/>
  <c r="L105" i="1"/>
  <c r="L59" i="1"/>
  <c r="L63" i="1"/>
  <c r="L60" i="1"/>
  <c r="L87" i="1"/>
  <c r="L101" i="1"/>
  <c r="L94" i="1"/>
  <c r="L103" i="1"/>
  <c r="L89" i="1"/>
  <c r="L56" i="1"/>
  <c r="L74" i="1"/>
</calcChain>
</file>

<file path=xl/sharedStrings.xml><?xml version="1.0" encoding="utf-8"?>
<sst xmlns="http://schemas.openxmlformats.org/spreadsheetml/2006/main" count="342" uniqueCount="92">
  <si>
    <t>Model No.</t>
  </si>
  <si>
    <t>Tubing size #</t>
  </si>
  <si>
    <t>ID×WT</t>
  </si>
  <si>
    <t>(mm)</t>
  </si>
  <si>
    <t>ml/rpm</t>
  </si>
  <si>
    <t>Flow rate mL/min</t>
  </si>
  <si>
    <t>0.8×1.6</t>
  </si>
  <si>
    <t>1.6×1.6</t>
  </si>
  <si>
    <t>2.4×1.6</t>
  </si>
  <si>
    <t>3.1×1.6</t>
  </si>
  <si>
    <t>4.8×1.6</t>
  </si>
  <si>
    <t>6.4×1.6</t>
  </si>
  <si>
    <t>7.9×1.6</t>
  </si>
  <si>
    <t xml:space="preserve">     </t>
  </si>
  <si>
    <t>at RPM</t>
  </si>
  <si>
    <t>YZII25</t>
  </si>
  <si>
    <t>4.8×2.4</t>
  </si>
  <si>
    <t>6.4×2.4</t>
  </si>
  <si>
    <t>7.9×2.4</t>
  </si>
  <si>
    <t>9.6×2.4</t>
  </si>
  <si>
    <t xml:space="preserve">DG </t>
  </si>
  <si>
    <t>DG</t>
  </si>
  <si>
    <t>3x1</t>
  </si>
  <si>
    <t>2x1</t>
  </si>
  <si>
    <t>1x1</t>
  </si>
  <si>
    <t>0.5x0.8</t>
  </si>
  <si>
    <t>Dispensed volume</t>
  </si>
  <si>
    <t>Filling time</t>
  </si>
  <si>
    <t>GPH01</t>
  </si>
  <si>
    <t>6.4 x 3.2</t>
  </si>
  <si>
    <t>9.5 x 3.3</t>
  </si>
  <si>
    <t>12.7 x 3.3</t>
  </si>
  <si>
    <t>15.9 x 3.2</t>
  </si>
  <si>
    <t>GPH02</t>
  </si>
  <si>
    <t>12 x 4</t>
  </si>
  <si>
    <t>17 x 4</t>
  </si>
  <si>
    <t>GPH03</t>
  </si>
  <si>
    <t>12 x 4</t>
  </si>
  <si>
    <t>LPH01</t>
  </si>
  <si>
    <t>8 x 4</t>
  </si>
  <si>
    <t>16 x 4</t>
  </si>
  <si>
    <t>Max speed 
(RPM)</t>
  </si>
  <si>
    <t>4.8x2.4</t>
  </si>
  <si>
    <t>6.4x2.4</t>
  </si>
  <si>
    <t>YZII15</t>
  </si>
  <si>
    <t>-</t>
  </si>
  <si>
    <t>2×13</t>
  </si>
  <si>
    <t>2×14</t>
  </si>
  <si>
    <t>2×19</t>
  </si>
  <si>
    <t>2×16</t>
  </si>
  <si>
    <t>2×25</t>
  </si>
  <si>
    <t>DG15-24</t>
  </si>
  <si>
    <t>Rollers</t>
  </si>
  <si>
    <t>Link</t>
  </si>
  <si>
    <t>DMD15-13</t>
  </si>
  <si>
    <t>BZ15</t>
  </si>
  <si>
    <t>BZ25</t>
  </si>
  <si>
    <t>YZ1515</t>
  </si>
  <si>
    <t xml:space="preserve">YZ2515
</t>
  </si>
  <si>
    <t xml:space="preserve">YZ2515 
</t>
  </si>
  <si>
    <t>DG15-28</t>
  </si>
  <si>
    <t>Flow rate</t>
  </si>
  <si>
    <t>0.5 x 0.8</t>
  </si>
  <si>
    <t xml:space="preserve">1  x 1 </t>
  </si>
  <si>
    <t xml:space="preserve">2 x 1 </t>
  </si>
  <si>
    <t xml:space="preserve">2.4 x 0.8 </t>
  </si>
  <si>
    <t xml:space="preserve"> 0.8 x1.6 </t>
  </si>
  <si>
    <t xml:space="preserve"> 1.6x 1.6 </t>
  </si>
  <si>
    <t>FG15-13</t>
  </si>
  <si>
    <t>FG25-13</t>
  </si>
  <si>
    <t>KZ10</t>
  </si>
  <si>
    <t>KZ15</t>
  </si>
  <si>
    <t>3.17x0.8</t>
  </si>
  <si>
    <t>T100</t>
  </si>
  <si>
    <t>T-S501</t>
  </si>
  <si>
    <t>Number of doses</t>
  </si>
  <si>
    <t>Pump Speed</t>
  </si>
  <si>
    <t xml:space="preserve">Speed </t>
  </si>
  <si>
    <t>RPM</t>
  </si>
  <si>
    <t>ml/min</t>
  </si>
  <si>
    <t>Speed at</t>
  </si>
  <si>
    <t>Time</t>
  </si>
  <si>
    <t>second</t>
  </si>
  <si>
    <t>Roller passes after</t>
  </si>
  <si>
    <t>seconds</t>
  </si>
  <si>
    <t>ml</t>
  </si>
  <si>
    <t>Flow rat+K13:K89in</t>
  </si>
  <si>
    <t>doses</t>
  </si>
  <si>
    <t>rpm</t>
  </si>
  <si>
    <t>Pump RPM</t>
  </si>
  <si>
    <t>Dispensed Volume</t>
  </si>
  <si>
    <t>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</si>
</sst>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rgb="FF21385F"/>
      <name val="Arial"/>
      <family val="2"/>
    </font>
    <font>
      <b/>
      <sz val="8"/>
      <color rgb="FF21385F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4" tint="-0.499984740745262"/>
      <name val="Arial"/>
      <family val="2"/>
    </font>
    <font>
      <sz val="8"/>
      <color theme="0" tint="-4.9989318521683403E-2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333333"/>
      <name val="Arial"/>
      <family val="2"/>
    </font>
    <font>
      <u/>
      <sz val="8"/>
      <color theme="10"/>
      <name val="Calibri"/>
      <family val="2"/>
      <scheme val="minor"/>
    </font>
    <font>
      <b/>
      <sz val="9"/>
      <color theme="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386B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3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4" borderId="3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5" fillId="6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2" fontId="6" fillId="3" borderId="8" xfId="0" applyNumberFormat="1" applyFont="1" applyFill="1" applyBorder="1" applyAlignment="1">
      <alignment horizontal="center" vertical="top"/>
    </xf>
    <xf numFmtId="0" fontId="9" fillId="8" borderId="18" xfId="0" applyFont="1" applyFill="1" applyBorder="1" applyAlignment="1">
      <alignment wrapText="1"/>
    </xf>
    <xf numFmtId="0" fontId="2" fillId="5" borderId="8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2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5" fillId="2" borderId="18" xfId="0" applyFont="1" applyFill="1" applyBorder="1"/>
    <xf numFmtId="0" fontId="5" fillId="2" borderId="23" xfId="0" applyFont="1" applyFill="1" applyBorder="1"/>
    <xf numFmtId="0" fontId="5" fillId="2" borderId="19" xfId="0" applyFont="1" applyFill="1" applyBorder="1"/>
    <xf numFmtId="0" fontId="5" fillId="2" borderId="0" xfId="0" applyFont="1" applyFill="1"/>
    <xf numFmtId="0" fontId="5" fillId="2" borderId="8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 vertical="top" wrapText="1"/>
    </xf>
    <xf numFmtId="0" fontId="1" fillId="2" borderId="8" xfId="0" applyFont="1" applyFill="1" applyBorder="1"/>
    <xf numFmtId="0" fontId="1" fillId="2" borderId="18" xfId="0" applyFont="1" applyFill="1" applyBorder="1"/>
    <xf numFmtId="0" fontId="1" fillId="2" borderId="23" xfId="0" applyFont="1" applyFill="1" applyBorder="1"/>
    <xf numFmtId="0" fontId="0" fillId="0" borderId="23" xfId="0" applyBorder="1"/>
    <xf numFmtId="0" fontId="1" fillId="2" borderId="19" xfId="0" applyFont="1" applyFill="1" applyBorder="1"/>
    <xf numFmtId="0" fontId="0" fillId="0" borderId="18" xfId="0" applyBorder="1"/>
    <xf numFmtId="164" fontId="6" fillId="3" borderId="8" xfId="0" applyNumberFormat="1" applyFont="1" applyFill="1" applyBorder="1" applyAlignment="1">
      <alignment horizontal="center" vertical="top"/>
    </xf>
    <xf numFmtId="164" fontId="10" fillId="3" borderId="8" xfId="0" applyNumberFormat="1" applyFont="1" applyFill="1" applyBorder="1" applyAlignment="1">
      <alignment horizontal="center" vertical="top"/>
    </xf>
    <xf numFmtId="164" fontId="6" fillId="3" borderId="19" xfId="0" applyNumberFormat="1" applyFont="1" applyFill="1" applyBorder="1" applyAlignment="1">
      <alignment horizontal="center" vertical="top"/>
    </xf>
    <xf numFmtId="2" fontId="8" fillId="3" borderId="4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164" fontId="6" fillId="3" borderId="8" xfId="0" applyNumberFormat="1" applyFont="1" applyFill="1" applyBorder="1" applyAlignment="1">
      <alignment horizontal="center"/>
    </xf>
    <xf numFmtId="0" fontId="13" fillId="6" borderId="12" xfId="1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 vertical="top" wrapText="1"/>
    </xf>
    <xf numFmtId="0" fontId="2" fillId="6" borderId="8" xfId="0" applyFont="1" applyFill="1" applyBorder="1" applyAlignment="1">
      <alignment horizontal="center" vertical="top" wrapText="1"/>
    </xf>
    <xf numFmtId="2" fontId="2" fillId="6" borderId="8" xfId="0" applyNumberFormat="1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2" fontId="2" fillId="6" borderId="5" xfId="0" applyNumberFormat="1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2" fontId="2" fillId="6" borderId="7" xfId="0" applyNumberFormat="1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2" fontId="2" fillId="6" borderId="15" xfId="0" applyNumberFormat="1" applyFont="1" applyFill="1" applyBorder="1" applyAlignment="1">
      <alignment horizontal="center" vertical="top" wrapText="1"/>
    </xf>
    <xf numFmtId="0" fontId="13" fillId="6" borderId="8" xfId="1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 vertical="top" wrapText="1"/>
    </xf>
    <xf numFmtId="0" fontId="2" fillId="6" borderId="18" xfId="0" applyFont="1" applyFill="1" applyBorder="1" applyAlignment="1">
      <alignment horizontal="center" vertical="top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20" xfId="0" applyFont="1" applyFill="1" applyBorder="1" applyAlignment="1">
      <alignment horizontal="center" vertical="top" wrapText="1"/>
    </xf>
    <xf numFmtId="2" fontId="14" fillId="6" borderId="2" xfId="0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center" vertical="top" wrapText="1"/>
    </xf>
    <xf numFmtId="0" fontId="2" fillId="6" borderId="8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 vertical="top" wrapText="1"/>
    </xf>
    <xf numFmtId="2" fontId="2" fillId="6" borderId="2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/>
    </xf>
    <xf numFmtId="0" fontId="5" fillId="6" borderId="8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wrapText="1"/>
    </xf>
    <xf numFmtId="2" fontId="2" fillId="6" borderId="8" xfId="0" applyNumberFormat="1" applyFont="1" applyFill="1" applyBorder="1" applyAlignment="1">
      <alignment horizontal="center" wrapText="1"/>
    </xf>
    <xf numFmtId="0" fontId="15" fillId="6" borderId="8" xfId="1" applyFont="1" applyFill="1" applyBorder="1" applyAlignment="1">
      <alignment horizontal="center"/>
    </xf>
    <xf numFmtId="0" fontId="1" fillId="6" borderId="0" xfId="0" applyFont="1" applyFill="1"/>
    <xf numFmtId="0" fontId="5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top" wrapText="1"/>
    </xf>
    <xf numFmtId="164" fontId="16" fillId="2" borderId="0" xfId="0" applyNumberFormat="1" applyFont="1" applyFill="1" applyAlignment="1">
      <alignment horizontal="center" vertical="top" wrapText="1"/>
    </xf>
    <xf numFmtId="2" fontId="6" fillId="2" borderId="0" xfId="0" applyNumberFormat="1" applyFont="1" applyFill="1" applyAlignment="1">
      <alignment horizontal="center" vertical="top"/>
    </xf>
    <xf numFmtId="0" fontId="7" fillId="3" borderId="25" xfId="0" applyFont="1" applyFill="1" applyBorder="1" applyAlignment="1">
      <alignment horizontal="center" vertical="top" wrapText="1"/>
    </xf>
    <xf numFmtId="164" fontId="16" fillId="3" borderId="26" xfId="0" applyNumberFormat="1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2" fontId="6" fillId="3" borderId="27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/>
    </xf>
    <xf numFmtId="1" fontId="16" fillId="3" borderId="26" xfId="0" applyNumberFormat="1" applyFont="1" applyFill="1" applyBorder="1" applyAlignment="1">
      <alignment horizontal="center" vertical="top" wrapText="1"/>
    </xf>
    <xf numFmtId="1" fontId="17" fillId="2" borderId="0" xfId="0" applyNumberFormat="1" applyFont="1" applyFill="1" applyAlignment="1">
      <alignment horizontal="center" vertical="top"/>
    </xf>
    <xf numFmtId="1" fontId="17" fillId="2" borderId="8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Alignment="1">
      <alignment horizontal="center" vertical="top"/>
    </xf>
    <xf numFmtId="2" fontId="8" fillId="3" borderId="26" xfId="0" applyNumberFormat="1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top" wrapText="1"/>
    </xf>
    <xf numFmtId="1" fontId="16" fillId="3" borderId="23" xfId="0" applyNumberFormat="1" applyFont="1" applyFill="1" applyBorder="1" applyAlignment="1">
      <alignment horizontal="center" vertical="top" wrapText="1"/>
    </xf>
    <xf numFmtId="0" fontId="7" fillId="3" borderId="19" xfId="0" applyFont="1" applyFill="1" applyBorder="1" applyAlignment="1">
      <alignment horizontal="center" vertical="top" wrapText="1"/>
    </xf>
    <xf numFmtId="1" fontId="16" fillId="2" borderId="0" xfId="0" applyNumberFormat="1" applyFont="1" applyFill="1" applyAlignment="1">
      <alignment horizontal="center" vertical="top" wrapText="1"/>
    </xf>
    <xf numFmtId="0" fontId="5" fillId="6" borderId="0" xfId="0" applyFont="1" applyFill="1" applyAlignment="1">
      <alignment wrapText="1"/>
    </xf>
    <xf numFmtId="2" fontId="8" fillId="2" borderId="0" xfId="0" applyNumberFormat="1" applyFont="1" applyFill="1" applyAlignment="1">
      <alignment horizontal="center" vertical="top" wrapText="1"/>
    </xf>
    <xf numFmtId="0" fontId="5" fillId="6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5" fontId="6" fillId="3" borderId="8" xfId="0" applyNumberFormat="1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F38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271923</xdr:colOff>
      <xdr:row>0</xdr:row>
      <xdr:rowOff>113992</xdr:rowOff>
    </xdr:from>
    <xdr:to>
      <xdr:col>1</xdr:col>
      <xdr:colOff>388989</xdr:colOff>
      <xdr:row>4</xdr:row>
      <xdr:rowOff>113993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96FDF17-9E38-2FE7-CDB5-524F4AC32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923" y="113992"/>
          <a:ext cx="723901" cy="737420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116451</xdr:colOff>
      <xdr:row>0</xdr:row>
      <xdr:rowOff>103292</xdr:rowOff>
    </xdr:from>
    <xdr:to>
      <xdr:col>8</xdr:col>
      <xdr:colOff>95557</xdr:colOff>
      <xdr:row>5</xdr:row>
      <xdr:rowOff>20605</xdr:rowOff>
    </xdr:to>
    <xdr:pic>
      <xdr:nvPicPr>
        <xdr:cNvPr id="7" name="Picture 6" descr="Peristaltic Pump - Working Principle">
          <a:extLst>
            <a:ext uri="{FF2B5EF4-FFF2-40B4-BE49-F238E27FC236}">
              <a16:creationId xmlns:a16="http://schemas.microsoft.com/office/drawing/2014/main" id="{7D92ADF0-7D8E-5502-A62C-D4671D53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7116" y="103292"/>
          <a:ext cx="2685128" cy="83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23045</xdr:colOff>
      <xdr:row>22</xdr:row>
      <xdr:rowOff>110306</xdr:rowOff>
    </xdr:from>
    <xdr:to>
      <xdr:col>0</xdr:col>
      <xdr:colOff>546921</xdr:colOff>
      <xdr:row>25</xdr:row>
      <xdr:rowOff>127820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55D6E47-9803-2124-C040-C1008E74A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0800000" flipV="1">
          <a:off x="23045" y="4780629"/>
          <a:ext cx="523876" cy="532172"/>
        </a:xfrm>
        <a:prstGeom prst="rect">
          <a:avLst/>
        </a:prstGeom>
      </xdr:spPr>
    </xdr:pic>
    <xdr:clientData/>
  </xdr:twoCellAnchor>
  <xdr:twoCellAnchor editAs="oneCell">
    <xdr:from>
      <xdr:col>0</xdr:col>
      <xdr:colOff>72207</xdr:colOff>
      <xdr:row>38</xdr:row>
      <xdr:rowOff>0</xdr:rowOff>
    </xdr:from>
    <xdr:to>
      <xdr:col>0</xdr:col>
      <xdr:colOff>537702</xdr:colOff>
      <xdr:row>40</xdr:row>
      <xdr:rowOff>105045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DD0FF20-3691-7EC9-DE02-36B72F0E9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07" y="7481734"/>
          <a:ext cx="465495" cy="473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87876</xdr:colOff>
      <xdr:row>47</xdr:row>
      <xdr:rowOff>23659</xdr:rowOff>
    </xdr:from>
    <xdr:to>
      <xdr:col>0</xdr:col>
      <xdr:colOff>430774</xdr:colOff>
      <xdr:row>49</xdr:row>
      <xdr:rowOff>2763</xdr:rowOff>
    </xdr:to>
    <xdr:pic>
      <xdr:nvPicPr>
        <xdr:cNvPr id="24" name="Picture 23" descr="Longer DG Series Pump Head">
          <a:extLst>
            <a:ext uri="{FF2B5EF4-FFF2-40B4-BE49-F238E27FC236}">
              <a16:creationId xmlns:a16="http://schemas.microsoft.com/office/drawing/2014/main" id="{0342F9E8-B51B-4F11-89C4-2126A2AB3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76" y="9310534"/>
          <a:ext cx="342898" cy="34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168686</xdr:rowOff>
    </xdr:from>
    <xdr:to>
      <xdr:col>0</xdr:col>
      <xdr:colOff>571499</xdr:colOff>
      <xdr:row>56</xdr:row>
      <xdr:rowOff>12906</xdr:rowOff>
    </xdr:to>
    <xdr:pic>
      <xdr:nvPicPr>
        <xdr:cNvPr id="26" name="Picture 25" descr="Longer DMD15-13 Low Flow Pump Head">
          <a:extLst>
            <a:ext uri="{FF2B5EF4-FFF2-40B4-BE49-F238E27FC236}">
              <a16:creationId xmlns:a16="http://schemas.microsoft.com/office/drawing/2014/main" id="{6FE642AE-DA4F-6ED6-4C7E-FC1BEB653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69654"/>
          <a:ext cx="571499" cy="581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71590</xdr:rowOff>
    </xdr:from>
    <xdr:to>
      <xdr:col>0</xdr:col>
      <xdr:colOff>548109</xdr:colOff>
      <xdr:row>61</xdr:row>
      <xdr:rowOff>76814</xdr:rowOff>
    </xdr:to>
    <xdr:pic>
      <xdr:nvPicPr>
        <xdr:cNvPr id="28" name="Picture 27" descr="Longer BZ Series Standard Pump Head">
          <a:extLst>
            <a:ext uri="{FF2B5EF4-FFF2-40B4-BE49-F238E27FC236}">
              <a16:creationId xmlns:a16="http://schemas.microsoft.com/office/drawing/2014/main" id="{2D0692CC-58F2-68A6-19A7-CC943DB0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7820"/>
          <a:ext cx="548109" cy="558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64</xdr:row>
      <xdr:rowOff>152400</xdr:rowOff>
    </xdr:from>
    <xdr:to>
      <xdr:col>0</xdr:col>
      <xdr:colOff>533400</xdr:colOff>
      <xdr:row>67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C31A60-D6D5-7FA9-9A85-07CCA86D8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287250"/>
          <a:ext cx="5238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95250</xdr:rowOff>
    </xdr:from>
    <xdr:to>
      <xdr:col>0</xdr:col>
      <xdr:colOff>590550</xdr:colOff>
      <xdr:row>76</xdr:row>
      <xdr:rowOff>133350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434BB5A-97B9-C924-8431-CF2C1EBA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68400"/>
          <a:ext cx="5905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82</xdr:row>
      <xdr:rowOff>104775</xdr:rowOff>
    </xdr:from>
    <xdr:to>
      <xdr:col>0</xdr:col>
      <xdr:colOff>523875</xdr:colOff>
      <xdr:row>85</xdr:row>
      <xdr:rowOff>76200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27D7054-C078-B734-16DC-822E17948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440025"/>
          <a:ext cx="4476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88</xdr:row>
      <xdr:rowOff>123826</xdr:rowOff>
    </xdr:from>
    <xdr:to>
      <xdr:col>0</xdr:col>
      <xdr:colOff>609598</xdr:colOff>
      <xdr:row>92</xdr:row>
      <xdr:rowOff>47624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3B9D41F-1E0D-76FE-8F4D-56F51D329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6363951"/>
          <a:ext cx="590548" cy="59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57150</xdr:rowOff>
    </xdr:from>
    <xdr:to>
      <xdr:col>0</xdr:col>
      <xdr:colOff>561975</xdr:colOff>
      <xdr:row>96</xdr:row>
      <xdr:rowOff>66675</xdr:rowOff>
    </xdr:to>
    <xdr:pic>
      <xdr:nvPicPr>
        <xdr:cNvPr id="18" name="Picture 17" descr="KZ10/15 Serial Peristaltic Pump Head-Peristaltic Pump Head-Longer Precision  Pump Co., Ltd.">
          <a:extLst>
            <a:ext uri="{FF2B5EF4-FFF2-40B4-BE49-F238E27FC236}">
              <a16:creationId xmlns:a16="http://schemas.microsoft.com/office/drawing/2014/main" id="{1680425C-2FAA-7883-D3DA-4E14C7185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06900"/>
          <a:ext cx="56197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85725</xdr:rowOff>
    </xdr:from>
    <xdr:to>
      <xdr:col>0</xdr:col>
      <xdr:colOff>560881</xdr:colOff>
      <xdr:row>100</xdr:row>
      <xdr:rowOff>103681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A5A68B3-9ABA-4A70-DF4C-00C6B8B34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7868900"/>
          <a:ext cx="560881" cy="5608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114300</xdr:rowOff>
    </xdr:from>
    <xdr:to>
      <xdr:col>0</xdr:col>
      <xdr:colOff>552450</xdr:colOff>
      <xdr:row>104</xdr:row>
      <xdr:rowOff>114300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175C8D5-3D8C-E2C4-4AB2-AF1B6413D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21375"/>
          <a:ext cx="5524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105</xdr:row>
      <xdr:rowOff>114300</xdr:rowOff>
    </xdr:from>
    <xdr:ext cx="552450" cy="552450"/>
    <xdr:pic>
      <xdr:nvPicPr>
        <xdr:cNvPr id="23" name="Picture 22">
          <a:extLst>
            <a:ext uri="{FF2B5EF4-FFF2-40B4-BE49-F238E27FC236}">
              <a16:creationId xmlns:a16="http://schemas.microsoft.com/office/drawing/2014/main" id="{FEBA7FC5-9E08-4809-9FF8-3CD5AB001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21375"/>
          <a:ext cx="5524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109</xdr:row>
      <xdr:rowOff>76200</xdr:rowOff>
    </xdr:from>
    <xdr:to>
      <xdr:col>0</xdr:col>
      <xdr:colOff>590550</xdr:colOff>
      <xdr:row>112</xdr:row>
      <xdr:rowOff>114300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86C9B74-A3B1-DD54-5660-A6E2D1973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50125"/>
          <a:ext cx="5905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591739</xdr:colOff>
      <xdr:row>22</xdr:row>
      <xdr:rowOff>133900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BB729A-402F-D044-32CE-7640691D3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8516539" cy="394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ctflow.com/our-products/pumps/pump-head/longer-bz-series-standard/" TargetMode="External"/><Relationship Id="rId13" Type="http://schemas.openxmlformats.org/officeDocument/2006/relationships/hyperlink" Target="https://www.pctflow.com/our-products/pumps/pump-head/longer-yz1515x-yz2515x-yzii15-yzii25-easy-load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pctflow.com/our-products/pumps/pump-head/longer-fg15-13-fg25-13-flip/" TargetMode="External"/><Relationship Id="rId7" Type="http://schemas.openxmlformats.org/officeDocument/2006/relationships/hyperlink" Target="https://www.pctflow.com/our-products/pumps/pump-head/longer-bz-series-standard/" TargetMode="External"/><Relationship Id="rId12" Type="http://schemas.openxmlformats.org/officeDocument/2006/relationships/hyperlink" Target="https://www.pctflow.com/our-products/pumps/pump-head/longer-dg-series-low-flow-multi-channel/" TargetMode="External"/><Relationship Id="rId17" Type="http://schemas.openxmlformats.org/officeDocument/2006/relationships/hyperlink" Target="https://www.pctflow.com/our-products/pumps/oem/longer-t100-wx10-14-series-oem-peristaltic-pump/" TargetMode="External"/><Relationship Id="rId2" Type="http://schemas.openxmlformats.org/officeDocument/2006/relationships/hyperlink" Target="https://www.pctflow.com/our-products/pumps/pump-head/longer-gph-lph-dpoflex-biopharmaceutical-pump-head/" TargetMode="External"/><Relationship Id="rId16" Type="http://schemas.openxmlformats.org/officeDocument/2006/relationships/hyperlink" Target="https://www.pctflow.com/our-products/pumps/oem/longer-t100-wx10-14-series-oem-peristaltic-pump/" TargetMode="External"/><Relationship Id="rId1" Type="http://schemas.openxmlformats.org/officeDocument/2006/relationships/hyperlink" Target="https://www.pctflow.com/our-products/pumps/pump-head/longer-gph-lph-dpoflex-biopharmaceutical-pump-head/" TargetMode="External"/><Relationship Id="rId6" Type="http://schemas.openxmlformats.org/officeDocument/2006/relationships/hyperlink" Target="https://www.pctflow.com/our-products/pumps/pump-head/longer-bz-series-standard/" TargetMode="External"/><Relationship Id="rId11" Type="http://schemas.openxmlformats.org/officeDocument/2006/relationships/hyperlink" Target="https://www.pctflow.com/our-products/pumps/pump-head/longer-dg-series-low-flow-multi-channel/" TargetMode="External"/><Relationship Id="rId5" Type="http://schemas.openxmlformats.org/officeDocument/2006/relationships/hyperlink" Target="https://www.pctflow.com/our-products/pumps/pump-head/longer-dg15-series-multi-channel/" TargetMode="External"/><Relationship Id="rId15" Type="http://schemas.openxmlformats.org/officeDocument/2006/relationships/hyperlink" Target="https://www.pctflow.com/our-products/pumps/oem/longer-t100-jy15-12-series-oem-peristaltic-pump/" TargetMode="External"/><Relationship Id="rId10" Type="http://schemas.openxmlformats.org/officeDocument/2006/relationships/hyperlink" Target="https://www.pctflow.com/our-products/pumps/pump-head/longer-dmd15-13-low-flow/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www.pctflow.com/our-products/pumps/pump-head/longer-bz-series-standard/" TargetMode="External"/><Relationship Id="rId9" Type="http://schemas.openxmlformats.org/officeDocument/2006/relationships/hyperlink" Target="https://www.pctflow.com/our-products/pumps/pump-head/longer-dmd15-13-low-flow/" TargetMode="External"/><Relationship Id="rId14" Type="http://schemas.openxmlformats.org/officeDocument/2006/relationships/hyperlink" Target="https://www.pctflow.com/our-products/pumps/pump-head/longer-yz1515x-yz2515x-yzii15-yzii25-easy-load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3A76B-5C5D-4423-B0D2-E43446E161C5}">
  <sheetPr>
    <pageSetUpPr fitToPage="1"/>
  </sheetPr>
  <dimension ref="A7:AD113"/>
  <sheetViews>
    <sheetView tabSelected="1" zoomScaleNormal="100" workbookViewId="0">
      <pane ySplit="15" topLeftCell="A16" activePane="bottomLeft" state="frozen"/>
      <selection pane="bottomLeft" activeCell="I45" sqref="I45"/>
    </sheetView>
  </sheetViews>
  <sheetFormatPr defaultRowHeight="14.25" x14ac:dyDescent="0.2"/>
  <cols>
    <col min="1" max="1" width="9.140625" style="1"/>
    <col min="2" max="2" width="9.140625" style="22"/>
    <col min="3" max="3" width="15.5703125" style="1" customWidth="1"/>
    <col min="4" max="4" width="6.5703125" style="1" bestFit="1" customWidth="1"/>
    <col min="5" max="5" width="7" style="1" customWidth="1"/>
    <col min="6" max="6" width="7.85546875" style="1" bestFit="1" customWidth="1"/>
    <col min="7" max="7" width="7.28515625" style="1" customWidth="1"/>
    <col min="8" max="8" width="11.85546875" style="1" bestFit="1" customWidth="1"/>
    <col min="9" max="9" width="6" style="1" bestFit="1" customWidth="1"/>
    <col min="10" max="11" width="11.7109375" style="1" customWidth="1"/>
    <col min="12" max="12" width="16.140625" style="1" bestFit="1" customWidth="1"/>
    <col min="13" max="15" width="11.7109375" style="1" customWidth="1"/>
    <col min="16" max="16" width="10.85546875" style="1" bestFit="1" customWidth="1"/>
    <col min="17" max="19" width="10.85546875" style="1" customWidth="1"/>
    <col min="20" max="16384" width="9.140625" style="1"/>
  </cols>
  <sheetData>
    <row r="7" spans="1:30" ht="22.5" x14ac:dyDescent="0.2">
      <c r="E7" s="14" t="s">
        <v>77</v>
      </c>
      <c r="F7" s="26"/>
      <c r="G7" s="26"/>
      <c r="H7" s="26"/>
      <c r="I7" s="26"/>
      <c r="J7" s="26"/>
      <c r="K7" s="14" t="s">
        <v>61</v>
      </c>
      <c r="L7" s="14" t="s">
        <v>81</v>
      </c>
      <c r="M7" s="74"/>
      <c r="N7" s="14" t="s">
        <v>27</v>
      </c>
      <c r="O7" s="92" t="s">
        <v>75</v>
      </c>
      <c r="P7" s="14" t="s">
        <v>26</v>
      </c>
      <c r="Q7" s="74"/>
      <c r="R7" s="14" t="s">
        <v>76</v>
      </c>
      <c r="S7" s="14" t="s">
        <v>27</v>
      </c>
      <c r="T7" s="92" t="s">
        <v>75</v>
      </c>
      <c r="V7" s="26"/>
      <c r="W7" s="74"/>
      <c r="X7" s="74"/>
      <c r="Y7" s="26"/>
      <c r="Z7" s="26"/>
      <c r="AA7" s="74"/>
      <c r="AB7" s="74"/>
      <c r="AC7" s="26"/>
      <c r="AD7" s="26"/>
    </row>
    <row r="8" spans="1:30" x14ac:dyDescent="0.2">
      <c r="E8" s="14"/>
      <c r="K8" s="14"/>
      <c r="L8" s="14"/>
      <c r="M8" s="74"/>
      <c r="N8" s="14"/>
      <c r="O8" s="73"/>
      <c r="P8" s="14"/>
      <c r="Q8" s="74"/>
      <c r="R8" s="14"/>
      <c r="S8" s="14"/>
      <c r="T8" s="14"/>
      <c r="W8" s="74"/>
      <c r="X8" s="74"/>
      <c r="AA8" s="74"/>
      <c r="AB8" s="74"/>
    </row>
    <row r="9" spans="1:30" x14ac:dyDescent="0.2">
      <c r="E9" s="73"/>
      <c r="K9" s="14"/>
      <c r="L9" s="14"/>
      <c r="M9" s="74"/>
      <c r="N9" s="14"/>
      <c r="O9" s="73"/>
      <c r="P9" s="14"/>
      <c r="Q9" s="74"/>
      <c r="R9" s="14"/>
      <c r="S9" s="14"/>
      <c r="T9" s="14"/>
      <c r="W9" s="74"/>
      <c r="X9" s="74"/>
      <c r="AA9" s="74"/>
      <c r="AB9" s="74"/>
    </row>
    <row r="10" spans="1:30" x14ac:dyDescent="0.2">
      <c r="E10" s="94" t="s">
        <v>78</v>
      </c>
      <c r="K10" s="14" t="s">
        <v>79</v>
      </c>
      <c r="L10" s="14" t="s">
        <v>82</v>
      </c>
      <c r="M10" s="74"/>
      <c r="N10" s="14" t="s">
        <v>84</v>
      </c>
      <c r="O10" s="73"/>
      <c r="P10" s="14" t="s">
        <v>85</v>
      </c>
      <c r="Q10" s="74"/>
      <c r="R10" s="14" t="s">
        <v>88</v>
      </c>
      <c r="S10" s="14" t="s">
        <v>84</v>
      </c>
      <c r="T10" s="14"/>
      <c r="W10" s="74"/>
      <c r="X10" s="74"/>
      <c r="AA10" s="74"/>
      <c r="AB10" s="74"/>
    </row>
    <row r="11" spans="1:30" ht="15" x14ac:dyDescent="0.25">
      <c r="A11" s="96"/>
      <c r="B11" s="97"/>
      <c r="C11" s="96"/>
      <c r="D11" s="96"/>
      <c r="E11" s="95">
        <v>600</v>
      </c>
      <c r="F11" s="96"/>
      <c r="G11" s="96"/>
      <c r="H11" s="96"/>
      <c r="I11" s="96"/>
      <c r="J11" s="96"/>
      <c r="K11" s="95">
        <v>100</v>
      </c>
      <c r="L11" s="95">
        <v>30</v>
      </c>
      <c r="M11" s="95"/>
      <c r="N11" s="95">
        <v>20</v>
      </c>
      <c r="O11" s="95">
        <v>1</v>
      </c>
      <c r="P11" s="95">
        <v>8</v>
      </c>
      <c r="Q11" s="95"/>
      <c r="R11" s="95">
        <v>600</v>
      </c>
      <c r="S11" s="95">
        <v>40</v>
      </c>
      <c r="T11" s="95">
        <v>1</v>
      </c>
      <c r="U11" s="98">
        <v>10</v>
      </c>
      <c r="W11" s="82"/>
      <c r="X11" s="82"/>
      <c r="Y11" s="82"/>
      <c r="Z11" s="74"/>
      <c r="AA11" s="82"/>
      <c r="AB11" s="82"/>
      <c r="AC11" s="82"/>
    </row>
    <row r="12" spans="1:30" x14ac:dyDescent="0.2">
      <c r="Z12" s="74"/>
      <c r="AC12" s="74"/>
    </row>
    <row r="13" spans="1:30" ht="33.75" x14ac:dyDescent="0.2">
      <c r="C13" s="9" t="s">
        <v>0</v>
      </c>
      <c r="D13" s="20"/>
      <c r="E13" s="8" t="s">
        <v>1</v>
      </c>
      <c r="F13" s="8" t="s">
        <v>2</v>
      </c>
      <c r="G13" s="100" t="s">
        <v>4</v>
      </c>
      <c r="H13" s="12" t="s">
        <v>5</v>
      </c>
      <c r="I13" s="18" t="s">
        <v>41</v>
      </c>
      <c r="K13" s="78" t="s">
        <v>80</v>
      </c>
      <c r="L13" s="78" t="s">
        <v>83</v>
      </c>
      <c r="M13" s="75" t="s">
        <v>91</v>
      </c>
      <c r="O13" s="78" t="s">
        <v>89</v>
      </c>
      <c r="P13" s="88" t="s">
        <v>83</v>
      </c>
      <c r="Q13" s="75"/>
      <c r="R13" s="75"/>
      <c r="S13" s="78" t="s">
        <v>90</v>
      </c>
      <c r="T13" s="88" t="s">
        <v>83</v>
      </c>
      <c r="W13" s="75"/>
      <c r="Z13" s="74"/>
      <c r="AA13" s="75"/>
      <c r="AC13" s="74"/>
    </row>
    <row r="14" spans="1:30" ht="23.25" x14ac:dyDescent="0.2">
      <c r="C14" s="10"/>
      <c r="D14" s="21"/>
      <c r="E14" s="7"/>
      <c r="F14" s="7" t="s">
        <v>3</v>
      </c>
      <c r="G14" s="101"/>
      <c r="H14" s="38">
        <v>50</v>
      </c>
      <c r="I14" s="7"/>
      <c r="K14" s="79">
        <f>K11</f>
        <v>100</v>
      </c>
      <c r="L14" s="83">
        <f>L11</f>
        <v>30</v>
      </c>
      <c r="M14" s="76"/>
      <c r="O14" s="87"/>
      <c r="P14" s="89">
        <f>O11</f>
        <v>1</v>
      </c>
      <c r="Q14" s="91"/>
      <c r="R14" s="91"/>
      <c r="S14" s="87"/>
      <c r="T14" s="89">
        <f>T11</f>
        <v>1</v>
      </c>
      <c r="W14" s="93"/>
      <c r="Z14" s="74"/>
      <c r="AA14" s="93"/>
      <c r="AC14" s="74"/>
    </row>
    <row r="15" spans="1:30" ht="22.5" customHeight="1" x14ac:dyDescent="0.25">
      <c r="C15" s="10"/>
      <c r="D15" s="21" t="s">
        <v>52</v>
      </c>
      <c r="E15" s="3"/>
      <c r="F15" s="3"/>
      <c r="G15" s="102"/>
      <c r="H15" s="13" t="s">
        <v>14</v>
      </c>
      <c r="I15" s="3"/>
      <c r="K15" s="80" t="s">
        <v>79</v>
      </c>
      <c r="L15" s="80" t="s">
        <v>84</v>
      </c>
      <c r="M15" s="75"/>
      <c r="O15" s="80"/>
      <c r="P15" s="90" t="s">
        <v>87</v>
      </c>
      <c r="Q15" s="75"/>
      <c r="R15" s="75"/>
      <c r="S15" s="80" t="s">
        <v>85</v>
      </c>
      <c r="T15" s="90" t="s">
        <v>87</v>
      </c>
      <c r="W15" s="75"/>
      <c r="Z15" s="82"/>
      <c r="AA15" s="75"/>
      <c r="AC15" s="82"/>
    </row>
    <row r="17" spans="1:27" x14ac:dyDescent="0.2">
      <c r="J17" s="15" t="s">
        <v>13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W17" s="15"/>
      <c r="AA17" s="15"/>
    </row>
    <row r="18" spans="1:27" ht="12.75" customHeight="1" x14ac:dyDescent="0.2">
      <c r="A18" s="23"/>
      <c r="B18" s="41" t="s">
        <v>53</v>
      </c>
      <c r="C18" s="42" t="s">
        <v>57</v>
      </c>
      <c r="D18" s="43">
        <v>3</v>
      </c>
      <c r="E18" s="43">
        <v>13</v>
      </c>
      <c r="F18" s="43" t="s">
        <v>6</v>
      </c>
      <c r="G18" s="44">
        <v>7.0000000000000007E-2</v>
      </c>
      <c r="H18" s="35">
        <f t="shared" ref="H18:H37" si="0">G18*$E$11</f>
        <v>42.000000000000007</v>
      </c>
      <c r="I18" s="19">
        <v>600</v>
      </c>
      <c r="J18" s="16"/>
      <c r="K18" s="81">
        <f>$K$11/G18</f>
        <v>1428.5714285714284</v>
      </c>
      <c r="L18" s="85">
        <f>(D18*K18*$L$11)/60</f>
        <v>2142.8571428571427</v>
      </c>
      <c r="M18" s="77"/>
      <c r="N18" s="16"/>
      <c r="O18" s="81">
        <f>($P$11/($N$11/60))/G18</f>
        <v>342.85714285714283</v>
      </c>
      <c r="P18" s="85">
        <f>($N$11*O18*D18*$O$11)/60</f>
        <v>342.85714285714289</v>
      </c>
      <c r="Q18" s="84"/>
      <c r="R18" s="84"/>
      <c r="S18" s="17">
        <f>($R$11*G18*$S$11)/60</f>
        <v>28.000000000000004</v>
      </c>
      <c r="T18" s="85">
        <f>($R$11*D18*$S$11*$T$11)/60</f>
        <v>1200</v>
      </c>
      <c r="U18" s="39"/>
      <c r="V18" s="39"/>
      <c r="AA18" s="77"/>
    </row>
    <row r="19" spans="1:27" ht="13.5" customHeight="1" x14ac:dyDescent="0.2">
      <c r="A19" s="24"/>
      <c r="B19" s="41" t="s">
        <v>53</v>
      </c>
      <c r="C19" s="42" t="s">
        <v>57</v>
      </c>
      <c r="D19" s="43">
        <v>3</v>
      </c>
      <c r="E19" s="43">
        <v>14</v>
      </c>
      <c r="F19" s="43" t="s">
        <v>7</v>
      </c>
      <c r="G19" s="44">
        <v>0.27</v>
      </c>
      <c r="H19" s="35">
        <f t="shared" si="0"/>
        <v>162</v>
      </c>
      <c r="I19" s="19">
        <v>600</v>
      </c>
      <c r="J19" s="16"/>
      <c r="K19" s="81">
        <f>$K$11/G19</f>
        <v>370.37037037037032</v>
      </c>
      <c r="L19" s="85">
        <f t="shared" ref="L19:L82" si="1">(D19*K19*$L$11)/60</f>
        <v>555.55555555555543</v>
      </c>
      <c r="M19" s="77"/>
      <c r="N19" s="16"/>
      <c r="O19" s="81">
        <f t="shared" ref="O19:O82" si="2">($P$11/($N$11/60))/G19</f>
        <v>88.888888888888886</v>
      </c>
      <c r="P19" s="85">
        <f t="shared" ref="P19:P82" si="3">($N$11*O19*D19*$O$11)/60</f>
        <v>88.8888888888889</v>
      </c>
      <c r="Q19" s="84"/>
      <c r="R19" s="84"/>
      <c r="S19" s="17">
        <f t="shared" ref="S19:S82" si="4">($R$11*G19*$S$11)/60</f>
        <v>108</v>
      </c>
      <c r="T19" s="85">
        <f t="shared" ref="T19:T82" si="5">($R$11*D19*$S$11*$T$11)/60</f>
        <v>1200</v>
      </c>
      <c r="U19" s="39"/>
      <c r="V19" s="39"/>
      <c r="AA19" s="77"/>
    </row>
    <row r="20" spans="1:27" x14ac:dyDescent="0.2">
      <c r="A20" s="24"/>
      <c r="B20" s="41" t="s">
        <v>53</v>
      </c>
      <c r="C20" s="42" t="s">
        <v>57</v>
      </c>
      <c r="D20" s="43">
        <v>3</v>
      </c>
      <c r="E20" s="43">
        <v>19</v>
      </c>
      <c r="F20" s="43" t="s">
        <v>8</v>
      </c>
      <c r="G20" s="44">
        <v>0.55000000000000004</v>
      </c>
      <c r="H20" s="35">
        <f t="shared" si="0"/>
        <v>330</v>
      </c>
      <c r="I20" s="19">
        <v>600</v>
      </c>
      <c r="J20" s="16"/>
      <c r="K20" s="81">
        <f t="shared" ref="K20:K82" si="6">$K$11/G20</f>
        <v>181.81818181818181</v>
      </c>
      <c r="L20" s="85">
        <f t="shared" si="1"/>
        <v>272.72727272727275</v>
      </c>
      <c r="M20" s="77"/>
      <c r="N20" s="16"/>
      <c r="O20" s="81">
        <f t="shared" si="2"/>
        <v>43.636363636363633</v>
      </c>
      <c r="P20" s="85">
        <f t="shared" si="3"/>
        <v>43.636363636363633</v>
      </c>
      <c r="Q20" s="84"/>
      <c r="R20" s="84"/>
      <c r="S20" s="17">
        <f t="shared" si="4"/>
        <v>220</v>
      </c>
      <c r="T20" s="85">
        <f t="shared" si="5"/>
        <v>1200</v>
      </c>
      <c r="U20" s="39"/>
      <c r="V20" s="39"/>
      <c r="AA20" s="77"/>
    </row>
    <row r="21" spans="1:27" ht="15" x14ac:dyDescent="0.25">
      <c r="A21" s="24"/>
      <c r="B21" s="41" t="s">
        <v>53</v>
      </c>
      <c r="C21" s="42" t="s">
        <v>57</v>
      </c>
      <c r="D21" s="43">
        <v>3</v>
      </c>
      <c r="E21" s="43">
        <v>16</v>
      </c>
      <c r="F21" s="43" t="s">
        <v>9</v>
      </c>
      <c r="G21" s="44">
        <v>0.82</v>
      </c>
      <c r="H21" s="35">
        <f t="shared" si="0"/>
        <v>491.99999999999994</v>
      </c>
      <c r="I21" s="19">
        <v>600</v>
      </c>
      <c r="J21" s="2"/>
      <c r="K21" s="81">
        <f t="shared" si="6"/>
        <v>121.95121951219512</v>
      </c>
      <c r="L21" s="85">
        <f t="shared" si="1"/>
        <v>182.92682926829269</v>
      </c>
      <c r="M21" s="86" t="s">
        <v>86</v>
      </c>
      <c r="N21" s="2"/>
      <c r="O21" s="81">
        <f t="shared" si="2"/>
        <v>29.26829268292683</v>
      </c>
      <c r="P21" s="85">
        <f t="shared" si="3"/>
        <v>29.268292682926827</v>
      </c>
      <c r="Q21" s="84"/>
      <c r="R21" s="84"/>
      <c r="S21" s="17">
        <f t="shared" si="4"/>
        <v>327.99999999999994</v>
      </c>
      <c r="T21" s="85">
        <f t="shared" si="5"/>
        <v>1200</v>
      </c>
      <c r="U21" s="39"/>
      <c r="V21" s="39"/>
      <c r="AA21" s="77"/>
    </row>
    <row r="22" spans="1:27" x14ac:dyDescent="0.2">
      <c r="A22" s="24"/>
      <c r="B22" s="41" t="s">
        <v>53</v>
      </c>
      <c r="C22" s="42" t="s">
        <v>57</v>
      </c>
      <c r="D22" s="43">
        <v>3</v>
      </c>
      <c r="E22" s="43">
        <v>25</v>
      </c>
      <c r="F22" s="43" t="s">
        <v>10</v>
      </c>
      <c r="G22" s="44">
        <v>1.7</v>
      </c>
      <c r="H22" s="35">
        <f t="shared" si="0"/>
        <v>1020</v>
      </c>
      <c r="I22" s="19">
        <v>600</v>
      </c>
      <c r="K22" s="81">
        <f t="shared" si="6"/>
        <v>58.82352941176471</v>
      </c>
      <c r="L22" s="85">
        <f>(D22*K22*$L$11)/60</f>
        <v>88.235294117647072</v>
      </c>
      <c r="M22" s="77"/>
      <c r="O22" s="81">
        <f t="shared" si="2"/>
        <v>14.117647058823529</v>
      </c>
      <c r="P22" s="85">
        <f t="shared" si="3"/>
        <v>14.117647058823531</v>
      </c>
      <c r="Q22" s="84"/>
      <c r="R22" s="84"/>
      <c r="S22" s="17">
        <f t="shared" si="4"/>
        <v>680</v>
      </c>
      <c r="T22" s="85">
        <f t="shared" si="5"/>
        <v>1200</v>
      </c>
      <c r="U22" s="39"/>
      <c r="V22" s="39"/>
      <c r="AA22" s="77"/>
    </row>
    <row r="23" spans="1:27" x14ac:dyDescent="0.2">
      <c r="A23" s="24"/>
      <c r="B23" s="41" t="s">
        <v>53</v>
      </c>
      <c r="C23" s="42" t="s">
        <v>57</v>
      </c>
      <c r="D23" s="43">
        <v>3</v>
      </c>
      <c r="E23" s="43">
        <v>17</v>
      </c>
      <c r="F23" s="43" t="s">
        <v>11</v>
      </c>
      <c r="G23" s="44">
        <v>2.9</v>
      </c>
      <c r="H23" s="35">
        <f t="shared" si="0"/>
        <v>1740</v>
      </c>
      <c r="I23" s="19">
        <v>600</v>
      </c>
      <c r="K23" s="81">
        <f t="shared" si="6"/>
        <v>34.482758620689658</v>
      </c>
      <c r="L23" s="85">
        <f t="shared" si="1"/>
        <v>51.724137931034491</v>
      </c>
      <c r="M23" s="77"/>
      <c r="O23" s="81">
        <f t="shared" si="2"/>
        <v>8.2758620689655178</v>
      </c>
      <c r="P23" s="85">
        <f t="shared" si="3"/>
        <v>8.2758620689655178</v>
      </c>
      <c r="Q23" s="84"/>
      <c r="R23" s="84"/>
      <c r="S23" s="17">
        <f t="shared" si="4"/>
        <v>1160</v>
      </c>
      <c r="T23" s="85">
        <f t="shared" si="5"/>
        <v>1200</v>
      </c>
      <c r="U23" s="39"/>
      <c r="V23" s="39"/>
      <c r="AA23" s="77"/>
    </row>
    <row r="24" spans="1:27" x14ac:dyDescent="0.2">
      <c r="A24" s="24"/>
      <c r="B24" s="41" t="s">
        <v>53</v>
      </c>
      <c r="C24" s="42" t="s">
        <v>57</v>
      </c>
      <c r="D24" s="43">
        <v>3</v>
      </c>
      <c r="E24" s="43">
        <v>18</v>
      </c>
      <c r="F24" s="43" t="s">
        <v>12</v>
      </c>
      <c r="G24" s="44">
        <v>3.8</v>
      </c>
      <c r="H24" s="36">
        <f t="shared" si="0"/>
        <v>2280</v>
      </c>
      <c r="I24" s="19">
        <v>600</v>
      </c>
      <c r="K24" s="81">
        <f t="shared" si="6"/>
        <v>26.315789473684212</v>
      </c>
      <c r="L24" s="85">
        <f t="shared" si="1"/>
        <v>39.473684210526315</v>
      </c>
      <c r="M24" s="77"/>
      <c r="O24" s="81">
        <f t="shared" si="2"/>
        <v>6.3157894736842106</v>
      </c>
      <c r="P24" s="85">
        <f t="shared" si="3"/>
        <v>6.3157894736842106</v>
      </c>
      <c r="Q24" s="84"/>
      <c r="R24" s="84"/>
      <c r="S24" s="17">
        <f t="shared" si="4"/>
        <v>1520</v>
      </c>
      <c r="T24" s="85">
        <f t="shared" si="5"/>
        <v>1200</v>
      </c>
      <c r="U24" s="39"/>
      <c r="V24" s="39"/>
      <c r="AA24" s="77"/>
    </row>
    <row r="25" spans="1:27" ht="11.25" customHeight="1" x14ac:dyDescent="0.2">
      <c r="A25" s="24"/>
      <c r="B25" s="41" t="s">
        <v>53</v>
      </c>
      <c r="C25" s="42" t="s">
        <v>58</v>
      </c>
      <c r="D25" s="43">
        <v>3</v>
      </c>
      <c r="E25" s="43">
        <v>15</v>
      </c>
      <c r="F25" s="43" t="s">
        <v>42</v>
      </c>
      <c r="G25" s="44">
        <v>1.6</v>
      </c>
      <c r="H25" s="36">
        <f t="shared" si="0"/>
        <v>960</v>
      </c>
      <c r="I25" s="19">
        <v>600</v>
      </c>
      <c r="K25" s="81">
        <f t="shared" si="6"/>
        <v>62.5</v>
      </c>
      <c r="L25" s="85">
        <f t="shared" si="1"/>
        <v>93.75</v>
      </c>
      <c r="M25" s="77"/>
      <c r="O25" s="81">
        <f t="shared" si="2"/>
        <v>15</v>
      </c>
      <c r="P25" s="85">
        <f t="shared" si="3"/>
        <v>15</v>
      </c>
      <c r="Q25" s="84"/>
      <c r="R25" s="84"/>
      <c r="S25" s="17">
        <f t="shared" si="4"/>
        <v>640</v>
      </c>
      <c r="T25" s="85">
        <f t="shared" si="5"/>
        <v>1200</v>
      </c>
      <c r="U25" s="39"/>
      <c r="V25" s="39"/>
      <c r="AA25" s="77"/>
    </row>
    <row r="26" spans="1:27" ht="11.25" customHeight="1" x14ac:dyDescent="0.2">
      <c r="A26" s="24"/>
      <c r="B26" s="41" t="s">
        <v>53</v>
      </c>
      <c r="C26" s="42" t="s">
        <v>59</v>
      </c>
      <c r="D26" s="43">
        <v>3</v>
      </c>
      <c r="E26" s="43">
        <v>24</v>
      </c>
      <c r="F26" s="43" t="s">
        <v>43</v>
      </c>
      <c r="G26" s="44">
        <v>2.6</v>
      </c>
      <c r="H26" s="36">
        <f t="shared" si="0"/>
        <v>1560</v>
      </c>
      <c r="I26" s="19">
        <v>600</v>
      </c>
      <c r="K26" s="81">
        <f t="shared" si="6"/>
        <v>38.46153846153846</v>
      </c>
      <c r="L26" s="85">
        <f t="shared" si="1"/>
        <v>57.692307692307693</v>
      </c>
      <c r="M26" s="77"/>
      <c r="O26" s="81">
        <f t="shared" si="2"/>
        <v>9.2307692307692299</v>
      </c>
      <c r="P26" s="85">
        <f t="shared" si="3"/>
        <v>9.2307692307692299</v>
      </c>
      <c r="Q26" s="84"/>
      <c r="R26" s="84"/>
      <c r="S26" s="17">
        <f t="shared" si="4"/>
        <v>1040</v>
      </c>
      <c r="T26" s="85">
        <f t="shared" si="5"/>
        <v>1200</v>
      </c>
      <c r="U26" s="39"/>
      <c r="V26" s="39"/>
      <c r="AA26" s="77"/>
    </row>
    <row r="27" spans="1:27" ht="13.5" customHeight="1" x14ac:dyDescent="0.2">
      <c r="A27" s="24"/>
      <c r="B27" s="41" t="s">
        <v>53</v>
      </c>
      <c r="C27" s="42" t="s">
        <v>57</v>
      </c>
      <c r="D27" s="43">
        <v>6</v>
      </c>
      <c r="E27" s="43">
        <v>13</v>
      </c>
      <c r="F27" s="43" t="s">
        <v>6</v>
      </c>
      <c r="G27" s="44">
        <f>(2/3)*0.07</f>
        <v>4.6666666666666669E-2</v>
      </c>
      <c r="H27" s="35">
        <f t="shared" si="0"/>
        <v>28</v>
      </c>
      <c r="I27" s="19">
        <v>600</v>
      </c>
      <c r="K27" s="81">
        <f t="shared" si="6"/>
        <v>2142.8571428571427</v>
      </c>
      <c r="L27" s="85">
        <f t="shared" si="1"/>
        <v>6428.5714285714284</v>
      </c>
      <c r="M27" s="77"/>
      <c r="O27" s="81">
        <f t="shared" si="2"/>
        <v>514.28571428571422</v>
      </c>
      <c r="P27" s="85">
        <f t="shared" si="3"/>
        <v>1028.5714285714284</v>
      </c>
      <c r="Q27" s="84"/>
      <c r="R27" s="84"/>
      <c r="S27" s="17">
        <f t="shared" si="4"/>
        <v>18.666666666666668</v>
      </c>
      <c r="T27" s="85">
        <f t="shared" si="5"/>
        <v>2400</v>
      </c>
      <c r="U27" s="39"/>
      <c r="V27" s="39"/>
      <c r="AA27" s="77"/>
    </row>
    <row r="28" spans="1:27" ht="13.5" customHeight="1" x14ac:dyDescent="0.2">
      <c r="A28" s="24"/>
      <c r="B28" s="41" t="s">
        <v>53</v>
      </c>
      <c r="C28" s="42" t="s">
        <v>57</v>
      </c>
      <c r="D28" s="43">
        <v>6</v>
      </c>
      <c r="E28" s="43">
        <v>14</v>
      </c>
      <c r="F28" s="43" t="s">
        <v>7</v>
      </c>
      <c r="G28" s="44">
        <f>(2/3)*0.27</f>
        <v>0.18</v>
      </c>
      <c r="H28" s="35">
        <f>G28*$E$11</f>
        <v>108</v>
      </c>
      <c r="I28" s="19">
        <v>600</v>
      </c>
      <c r="K28" s="81">
        <f t="shared" si="6"/>
        <v>555.55555555555554</v>
      </c>
      <c r="L28" s="85">
        <f t="shared" si="1"/>
        <v>1666.6666666666665</v>
      </c>
      <c r="M28" s="77"/>
      <c r="O28" s="81">
        <f t="shared" si="2"/>
        <v>133.33333333333334</v>
      </c>
      <c r="P28" s="85">
        <f t="shared" si="3"/>
        <v>266.66666666666669</v>
      </c>
      <c r="Q28" s="84"/>
      <c r="R28" s="84"/>
      <c r="S28" s="17">
        <f t="shared" si="4"/>
        <v>72</v>
      </c>
      <c r="T28" s="85">
        <f t="shared" si="5"/>
        <v>2400</v>
      </c>
      <c r="U28" s="39"/>
      <c r="V28" s="39"/>
      <c r="AA28" s="77"/>
    </row>
    <row r="29" spans="1:27" x14ac:dyDescent="0.2">
      <c r="A29" s="24"/>
      <c r="B29" s="41" t="s">
        <v>53</v>
      </c>
      <c r="C29" s="42" t="s">
        <v>57</v>
      </c>
      <c r="D29" s="43">
        <v>6</v>
      </c>
      <c r="E29" s="43">
        <v>19</v>
      </c>
      <c r="F29" s="43" t="s">
        <v>8</v>
      </c>
      <c r="G29" s="44">
        <f>(2/3)*0.55</f>
        <v>0.3666666666666667</v>
      </c>
      <c r="H29" s="35">
        <f t="shared" si="0"/>
        <v>220.00000000000003</v>
      </c>
      <c r="I29" s="19">
        <v>600</v>
      </c>
      <c r="K29" s="81">
        <f t="shared" si="6"/>
        <v>272.72727272727269</v>
      </c>
      <c r="L29" s="85">
        <f t="shared" si="1"/>
        <v>818.18181818181802</v>
      </c>
      <c r="M29" s="77"/>
      <c r="O29" s="81">
        <f t="shared" si="2"/>
        <v>65.454545454545453</v>
      </c>
      <c r="P29" s="85">
        <f t="shared" si="3"/>
        <v>130.90909090909091</v>
      </c>
      <c r="Q29" s="84"/>
      <c r="R29" s="84"/>
      <c r="S29" s="17">
        <f t="shared" si="4"/>
        <v>146.66666666666669</v>
      </c>
      <c r="T29" s="85">
        <f t="shared" si="5"/>
        <v>2400</v>
      </c>
      <c r="U29" s="39"/>
      <c r="V29" s="39"/>
      <c r="AA29" s="77"/>
    </row>
    <row r="30" spans="1:27" x14ac:dyDescent="0.2">
      <c r="A30" s="24"/>
      <c r="B30" s="41" t="s">
        <v>53</v>
      </c>
      <c r="C30" s="42" t="s">
        <v>57</v>
      </c>
      <c r="D30" s="43">
        <v>6</v>
      </c>
      <c r="E30" s="43">
        <v>16</v>
      </c>
      <c r="F30" s="43" t="s">
        <v>9</v>
      </c>
      <c r="G30" s="44">
        <f>(2/3)*0.82</f>
        <v>0.54666666666666663</v>
      </c>
      <c r="H30" s="35">
        <f t="shared" si="0"/>
        <v>328</v>
      </c>
      <c r="I30" s="19">
        <v>600</v>
      </c>
      <c r="K30" s="81">
        <f t="shared" si="6"/>
        <v>182.92682926829269</v>
      </c>
      <c r="L30" s="85">
        <f t="shared" si="1"/>
        <v>548.78048780487802</v>
      </c>
      <c r="M30" s="77"/>
      <c r="O30" s="81">
        <f t="shared" si="2"/>
        <v>43.902439024390247</v>
      </c>
      <c r="P30" s="85">
        <f t="shared" si="3"/>
        <v>87.804878048780495</v>
      </c>
      <c r="Q30" s="84"/>
      <c r="R30" s="84"/>
      <c r="S30" s="17">
        <f t="shared" si="4"/>
        <v>218.66666666666666</v>
      </c>
      <c r="T30" s="85">
        <f t="shared" si="5"/>
        <v>2400</v>
      </c>
      <c r="U30" s="39"/>
      <c r="V30" s="39"/>
      <c r="AA30" s="77"/>
    </row>
    <row r="31" spans="1:27" x14ac:dyDescent="0.2">
      <c r="A31" s="24"/>
      <c r="B31" s="41" t="s">
        <v>53</v>
      </c>
      <c r="C31" s="42" t="s">
        <v>57</v>
      </c>
      <c r="D31" s="43">
        <v>6</v>
      </c>
      <c r="E31" s="45">
        <v>25</v>
      </c>
      <c r="F31" s="46" t="s">
        <v>10</v>
      </c>
      <c r="G31" s="47">
        <f>(2/3)*1.7</f>
        <v>1.1333333333333333</v>
      </c>
      <c r="H31" s="37">
        <f t="shared" si="0"/>
        <v>680</v>
      </c>
      <c r="I31" s="5">
        <v>600</v>
      </c>
      <c r="K31" s="81">
        <f t="shared" si="6"/>
        <v>88.235294117647058</v>
      </c>
      <c r="L31" s="85">
        <f t="shared" si="1"/>
        <v>264.70588235294116</v>
      </c>
      <c r="M31" s="77"/>
      <c r="O31" s="81">
        <f t="shared" si="2"/>
        <v>21.176470588235293</v>
      </c>
      <c r="P31" s="85">
        <f t="shared" si="3"/>
        <v>42.352941176470587</v>
      </c>
      <c r="Q31" s="84"/>
      <c r="R31" s="84"/>
      <c r="S31" s="17">
        <f t="shared" si="4"/>
        <v>453.33333333333331</v>
      </c>
      <c r="T31" s="85">
        <f t="shared" si="5"/>
        <v>2400</v>
      </c>
      <c r="U31" s="39"/>
      <c r="V31" s="39"/>
      <c r="AA31" s="77"/>
    </row>
    <row r="32" spans="1:27" x14ac:dyDescent="0.2">
      <c r="A32" s="24"/>
      <c r="B32" s="41" t="s">
        <v>53</v>
      </c>
      <c r="C32" s="42" t="s">
        <v>57</v>
      </c>
      <c r="D32" s="43">
        <v>6</v>
      </c>
      <c r="E32" s="48">
        <v>17</v>
      </c>
      <c r="F32" s="49" t="s">
        <v>11</v>
      </c>
      <c r="G32" s="50">
        <f>(2/3)*2.9</f>
        <v>1.9333333333333331</v>
      </c>
      <c r="H32" s="35">
        <f t="shared" si="0"/>
        <v>1159.9999999999998</v>
      </c>
      <c r="I32" s="6">
        <v>600</v>
      </c>
      <c r="K32" s="81">
        <f t="shared" si="6"/>
        <v>51.724137931034491</v>
      </c>
      <c r="L32" s="85">
        <f t="shared" si="1"/>
        <v>155.17241379310352</v>
      </c>
      <c r="M32" s="77"/>
      <c r="O32" s="81">
        <f t="shared" si="2"/>
        <v>12.413793103448278</v>
      </c>
      <c r="P32" s="85">
        <f t="shared" si="3"/>
        <v>24.827586206896555</v>
      </c>
      <c r="Q32" s="84"/>
      <c r="R32" s="84"/>
      <c r="S32" s="17">
        <f t="shared" si="4"/>
        <v>773.33333333333326</v>
      </c>
      <c r="T32" s="85">
        <f t="shared" si="5"/>
        <v>2400</v>
      </c>
      <c r="U32" s="39"/>
      <c r="V32" s="39"/>
      <c r="AA32" s="77"/>
    </row>
    <row r="33" spans="1:27" ht="14.25" customHeight="1" x14ac:dyDescent="0.2">
      <c r="A33" s="25"/>
      <c r="B33" s="41" t="s">
        <v>53</v>
      </c>
      <c r="C33" s="42" t="s">
        <v>57</v>
      </c>
      <c r="D33" s="43">
        <v>6</v>
      </c>
      <c r="E33" s="51">
        <v>18</v>
      </c>
      <c r="F33" s="52" t="s">
        <v>12</v>
      </c>
      <c r="G33" s="53">
        <f>(2/3)*3.8</f>
        <v>2.5333333333333332</v>
      </c>
      <c r="H33" s="35">
        <f t="shared" si="0"/>
        <v>1520</v>
      </c>
      <c r="I33" s="6">
        <v>600</v>
      </c>
      <c r="K33" s="81">
        <f t="shared" si="6"/>
        <v>39.473684210526315</v>
      </c>
      <c r="L33" s="85">
        <f t="shared" si="1"/>
        <v>118.42105263157895</v>
      </c>
      <c r="M33" s="77"/>
      <c r="O33" s="81">
        <f t="shared" si="2"/>
        <v>9.4736842105263168</v>
      </c>
      <c r="P33" s="85">
        <f t="shared" si="3"/>
        <v>18.947368421052634</v>
      </c>
      <c r="Q33" s="84"/>
      <c r="R33" s="84"/>
      <c r="S33" s="17">
        <f t="shared" si="4"/>
        <v>1013.3333333333334</v>
      </c>
      <c r="T33" s="85">
        <f t="shared" si="5"/>
        <v>2400</v>
      </c>
      <c r="U33" s="39"/>
      <c r="V33" s="39"/>
      <c r="AA33" s="77"/>
    </row>
    <row r="34" spans="1:27" ht="12" customHeight="1" x14ac:dyDescent="0.2">
      <c r="A34" s="23"/>
      <c r="B34" s="41" t="s">
        <v>53</v>
      </c>
      <c r="C34" s="43" t="s">
        <v>15</v>
      </c>
      <c r="D34" s="43">
        <v>3</v>
      </c>
      <c r="E34" s="48">
        <v>15</v>
      </c>
      <c r="F34" s="49" t="s">
        <v>16</v>
      </c>
      <c r="G34" s="50">
        <v>1.6</v>
      </c>
      <c r="H34" s="35">
        <f t="shared" si="0"/>
        <v>960</v>
      </c>
      <c r="I34" s="11">
        <v>600</v>
      </c>
      <c r="K34" s="81">
        <f t="shared" si="6"/>
        <v>62.5</v>
      </c>
      <c r="L34" s="85">
        <f t="shared" si="1"/>
        <v>93.75</v>
      </c>
      <c r="M34" s="77"/>
      <c r="O34" s="81">
        <f t="shared" si="2"/>
        <v>15</v>
      </c>
      <c r="P34" s="85">
        <f t="shared" si="3"/>
        <v>15</v>
      </c>
      <c r="Q34" s="84"/>
      <c r="R34" s="84"/>
      <c r="S34" s="17">
        <f t="shared" si="4"/>
        <v>640</v>
      </c>
      <c r="T34" s="85">
        <f t="shared" si="5"/>
        <v>1200</v>
      </c>
      <c r="U34" s="39"/>
      <c r="V34" s="39"/>
      <c r="AA34" s="77"/>
    </row>
    <row r="35" spans="1:27" x14ac:dyDescent="0.2">
      <c r="A35" s="24"/>
      <c r="B35" s="41" t="s">
        <v>53</v>
      </c>
      <c r="C35" s="43" t="s">
        <v>15</v>
      </c>
      <c r="D35" s="43">
        <v>3</v>
      </c>
      <c r="E35" s="48">
        <v>24</v>
      </c>
      <c r="F35" s="49" t="s">
        <v>17</v>
      </c>
      <c r="G35" s="50">
        <v>2.6666666666659999</v>
      </c>
      <c r="H35" s="35">
        <f t="shared" si="0"/>
        <v>1599.9999999996</v>
      </c>
      <c r="I35" s="11">
        <v>600</v>
      </c>
      <c r="K35" s="81">
        <f t="shared" si="6"/>
        <v>37.500000000009379</v>
      </c>
      <c r="L35" s="85">
        <f t="shared" si="1"/>
        <v>56.250000000014069</v>
      </c>
      <c r="M35" s="77"/>
      <c r="O35" s="81">
        <f t="shared" si="2"/>
        <v>9.0000000000022506</v>
      </c>
      <c r="P35" s="85">
        <f t="shared" si="3"/>
        <v>9.0000000000022506</v>
      </c>
      <c r="Q35" s="84"/>
      <c r="R35" s="84"/>
      <c r="S35" s="17">
        <f t="shared" si="4"/>
        <v>1066.6666666664</v>
      </c>
      <c r="T35" s="85">
        <f t="shared" si="5"/>
        <v>1200</v>
      </c>
      <c r="U35" s="39"/>
      <c r="V35" s="39"/>
      <c r="AA35" s="77"/>
    </row>
    <row r="36" spans="1:27" x14ac:dyDescent="0.2">
      <c r="A36" s="24"/>
      <c r="B36" s="41" t="s">
        <v>53</v>
      </c>
      <c r="C36" s="43" t="s">
        <v>15</v>
      </c>
      <c r="D36" s="43">
        <v>3</v>
      </c>
      <c r="E36" s="48">
        <v>35</v>
      </c>
      <c r="F36" s="49" t="s">
        <v>18</v>
      </c>
      <c r="G36" s="50">
        <v>3.6666666666659999</v>
      </c>
      <c r="H36" s="35">
        <f t="shared" si="0"/>
        <v>2199.9999999995998</v>
      </c>
      <c r="I36" s="11">
        <v>600</v>
      </c>
      <c r="K36" s="81">
        <f t="shared" si="6"/>
        <v>27.272727272732233</v>
      </c>
      <c r="L36" s="85">
        <f t="shared" si="1"/>
        <v>40.909090909098353</v>
      </c>
      <c r="M36" s="77"/>
      <c r="O36" s="81">
        <f t="shared" si="2"/>
        <v>6.545454545455736</v>
      </c>
      <c r="P36" s="85">
        <f t="shared" si="3"/>
        <v>6.545454545455736</v>
      </c>
      <c r="Q36" s="84"/>
      <c r="R36" s="84"/>
      <c r="S36" s="17">
        <f t="shared" si="4"/>
        <v>1466.6666666663998</v>
      </c>
      <c r="T36" s="85">
        <f t="shared" si="5"/>
        <v>1200</v>
      </c>
      <c r="U36" s="39"/>
      <c r="V36" s="39"/>
      <c r="AA36" s="77"/>
    </row>
    <row r="37" spans="1:27" x14ac:dyDescent="0.2">
      <c r="A37" s="24"/>
      <c r="B37" s="41" t="s">
        <v>53</v>
      </c>
      <c r="C37" s="43" t="s">
        <v>15</v>
      </c>
      <c r="D37" s="43">
        <v>3</v>
      </c>
      <c r="E37" s="48">
        <v>36</v>
      </c>
      <c r="F37" s="49" t="s">
        <v>19</v>
      </c>
      <c r="G37" s="50">
        <v>5</v>
      </c>
      <c r="H37" s="35">
        <f t="shared" si="0"/>
        <v>3000</v>
      </c>
      <c r="I37" s="11">
        <v>600</v>
      </c>
      <c r="K37" s="81">
        <f t="shared" si="6"/>
        <v>20</v>
      </c>
      <c r="L37" s="85">
        <f t="shared" si="1"/>
        <v>30</v>
      </c>
      <c r="M37" s="77"/>
      <c r="O37" s="81">
        <f t="shared" si="2"/>
        <v>4.8</v>
      </c>
      <c r="P37" s="85">
        <f t="shared" si="3"/>
        <v>4.8</v>
      </c>
      <c r="Q37" s="84"/>
      <c r="R37" s="84"/>
      <c r="S37" s="17">
        <f t="shared" si="4"/>
        <v>2000</v>
      </c>
      <c r="T37" s="85">
        <f t="shared" si="5"/>
        <v>1200</v>
      </c>
      <c r="U37" s="39"/>
      <c r="V37" s="39"/>
      <c r="AA37" s="77"/>
    </row>
    <row r="38" spans="1:27" x14ac:dyDescent="0.2">
      <c r="A38" s="24"/>
      <c r="B38" s="41" t="s">
        <v>53</v>
      </c>
      <c r="C38" s="43" t="s">
        <v>44</v>
      </c>
      <c r="D38" s="43">
        <v>3</v>
      </c>
      <c r="E38" s="48">
        <v>13</v>
      </c>
      <c r="F38" s="49" t="s">
        <v>6</v>
      </c>
      <c r="G38" s="50">
        <f>6.3/100</f>
        <v>6.3E-2</v>
      </c>
      <c r="H38" s="35">
        <v>19</v>
      </c>
      <c r="I38" s="11">
        <v>600</v>
      </c>
      <c r="K38" s="81">
        <f t="shared" si="6"/>
        <v>1587.3015873015872</v>
      </c>
      <c r="L38" s="85">
        <f t="shared" si="1"/>
        <v>2380.9523809523807</v>
      </c>
      <c r="M38" s="77"/>
      <c r="O38" s="81">
        <f t="shared" si="2"/>
        <v>380.95238095238096</v>
      </c>
      <c r="P38" s="85">
        <f t="shared" si="3"/>
        <v>380.95238095238096</v>
      </c>
      <c r="Q38" s="84"/>
      <c r="R38" s="84"/>
      <c r="S38" s="17">
        <f t="shared" si="4"/>
        <v>25.2</v>
      </c>
      <c r="T38" s="85">
        <f t="shared" si="5"/>
        <v>1200</v>
      </c>
      <c r="U38" s="39"/>
      <c r="V38" s="39"/>
      <c r="AA38" s="77"/>
    </row>
    <row r="39" spans="1:27" x14ac:dyDescent="0.2">
      <c r="A39" s="24"/>
      <c r="B39" s="41" t="s">
        <v>53</v>
      </c>
      <c r="C39" s="43" t="s">
        <v>44</v>
      </c>
      <c r="D39" s="43">
        <v>3</v>
      </c>
      <c r="E39" s="48">
        <v>14</v>
      </c>
      <c r="F39" s="49" t="s">
        <v>7</v>
      </c>
      <c r="G39" s="50">
        <f>25/100</f>
        <v>0.25</v>
      </c>
      <c r="H39" s="35">
        <v>75</v>
      </c>
      <c r="I39" s="11">
        <v>600</v>
      </c>
      <c r="K39" s="81">
        <f t="shared" si="6"/>
        <v>400</v>
      </c>
      <c r="L39" s="85">
        <f t="shared" si="1"/>
        <v>600</v>
      </c>
      <c r="M39" s="77"/>
      <c r="O39" s="81">
        <f t="shared" si="2"/>
        <v>96</v>
      </c>
      <c r="P39" s="85">
        <f t="shared" si="3"/>
        <v>96</v>
      </c>
      <c r="Q39" s="84"/>
      <c r="R39" s="84"/>
      <c r="S39" s="17">
        <f t="shared" si="4"/>
        <v>100</v>
      </c>
      <c r="T39" s="85">
        <f t="shared" si="5"/>
        <v>1200</v>
      </c>
      <c r="U39" s="39"/>
      <c r="V39" s="39"/>
      <c r="AA39" s="77"/>
    </row>
    <row r="40" spans="1:27" x14ac:dyDescent="0.2">
      <c r="A40" s="24"/>
      <c r="B40" s="41" t="s">
        <v>53</v>
      </c>
      <c r="C40" s="43" t="s">
        <v>44</v>
      </c>
      <c r="D40" s="43">
        <v>3</v>
      </c>
      <c r="E40" s="48">
        <v>19</v>
      </c>
      <c r="F40" s="49" t="s">
        <v>8</v>
      </c>
      <c r="G40" s="50">
        <f>41.66/100</f>
        <v>0.41659999999999997</v>
      </c>
      <c r="H40" s="35">
        <v>125</v>
      </c>
      <c r="I40" s="11">
        <v>600</v>
      </c>
      <c r="K40" s="81">
        <f t="shared" si="6"/>
        <v>240.03840614498321</v>
      </c>
      <c r="L40" s="85">
        <f t="shared" si="1"/>
        <v>360.05760921747481</v>
      </c>
      <c r="M40" s="77"/>
      <c r="O40" s="81">
        <f t="shared" si="2"/>
        <v>57.609217474795969</v>
      </c>
      <c r="P40" s="85">
        <f t="shared" si="3"/>
        <v>57.609217474795969</v>
      </c>
      <c r="Q40" s="84"/>
      <c r="R40" s="84"/>
      <c r="S40" s="17">
        <f t="shared" si="4"/>
        <v>166.64</v>
      </c>
      <c r="T40" s="85">
        <f t="shared" si="5"/>
        <v>1200</v>
      </c>
      <c r="U40" s="39"/>
      <c r="V40" s="39"/>
      <c r="AA40" s="77"/>
    </row>
    <row r="41" spans="1:27" x14ac:dyDescent="0.2">
      <c r="A41" s="24"/>
      <c r="B41" s="41" t="s">
        <v>53</v>
      </c>
      <c r="C41" s="43" t="s">
        <v>44</v>
      </c>
      <c r="D41" s="43">
        <v>3</v>
      </c>
      <c r="E41" s="48">
        <v>16</v>
      </c>
      <c r="F41" s="49" t="s">
        <v>9</v>
      </c>
      <c r="G41" s="50">
        <f>77.7/100</f>
        <v>0.77700000000000002</v>
      </c>
      <c r="H41" s="35">
        <v>230</v>
      </c>
      <c r="I41" s="11">
        <v>600</v>
      </c>
      <c r="K41" s="81">
        <f t="shared" si="6"/>
        <v>128.70012870012869</v>
      </c>
      <c r="L41" s="85">
        <f t="shared" si="1"/>
        <v>193.05019305019303</v>
      </c>
      <c r="M41" s="77"/>
      <c r="O41" s="81">
        <f t="shared" si="2"/>
        <v>30.888030888030887</v>
      </c>
      <c r="P41" s="85">
        <f t="shared" si="3"/>
        <v>30.888030888030887</v>
      </c>
      <c r="Q41" s="84"/>
      <c r="R41" s="84"/>
      <c r="S41" s="17">
        <f t="shared" si="4"/>
        <v>310.8</v>
      </c>
      <c r="T41" s="85">
        <f t="shared" si="5"/>
        <v>1200</v>
      </c>
      <c r="U41" s="39"/>
      <c r="V41" s="39"/>
      <c r="AA41" s="77"/>
    </row>
    <row r="42" spans="1:27" x14ac:dyDescent="0.2">
      <c r="A42" s="24"/>
      <c r="B42" s="41" t="s">
        <v>53</v>
      </c>
      <c r="C42" s="43" t="s">
        <v>44</v>
      </c>
      <c r="D42" s="43">
        <v>3</v>
      </c>
      <c r="E42" s="48">
        <v>25</v>
      </c>
      <c r="F42" s="49" t="s">
        <v>10</v>
      </c>
      <c r="G42" s="50">
        <f>160/100</f>
        <v>1.6</v>
      </c>
      <c r="H42" s="35">
        <v>480</v>
      </c>
      <c r="I42" s="11">
        <v>600</v>
      </c>
      <c r="K42" s="81">
        <f t="shared" si="6"/>
        <v>62.5</v>
      </c>
      <c r="L42" s="85">
        <f t="shared" si="1"/>
        <v>93.75</v>
      </c>
      <c r="M42" s="77"/>
      <c r="O42" s="81">
        <f t="shared" si="2"/>
        <v>15</v>
      </c>
      <c r="P42" s="85">
        <f t="shared" si="3"/>
        <v>15</v>
      </c>
      <c r="Q42" s="84"/>
      <c r="R42" s="84"/>
      <c r="S42" s="17">
        <f t="shared" si="4"/>
        <v>640</v>
      </c>
      <c r="T42" s="85">
        <f t="shared" si="5"/>
        <v>1200</v>
      </c>
      <c r="U42" s="39"/>
      <c r="V42" s="39"/>
      <c r="AA42" s="77"/>
    </row>
    <row r="43" spans="1:27" x14ac:dyDescent="0.2">
      <c r="A43" s="24"/>
      <c r="B43" s="41" t="s">
        <v>53</v>
      </c>
      <c r="C43" s="43" t="s">
        <v>44</v>
      </c>
      <c r="D43" s="43">
        <v>3</v>
      </c>
      <c r="E43" s="48">
        <v>17</v>
      </c>
      <c r="F43" s="49" t="s">
        <v>11</v>
      </c>
      <c r="G43" s="50">
        <f>266.7/100</f>
        <v>2.6669999999999998</v>
      </c>
      <c r="H43" s="35">
        <v>800</v>
      </c>
      <c r="I43" s="11">
        <v>600</v>
      </c>
      <c r="K43" s="81">
        <f t="shared" si="6"/>
        <v>37.495313085864268</v>
      </c>
      <c r="L43" s="85">
        <f t="shared" si="1"/>
        <v>56.242969628796409</v>
      </c>
      <c r="M43" s="77"/>
      <c r="O43" s="81">
        <f t="shared" si="2"/>
        <v>8.9988751406074243</v>
      </c>
      <c r="P43" s="85">
        <f t="shared" si="3"/>
        <v>8.9988751406074243</v>
      </c>
      <c r="Q43" s="84"/>
      <c r="R43" s="84"/>
      <c r="S43" s="17">
        <f t="shared" si="4"/>
        <v>1066.8</v>
      </c>
      <c r="T43" s="85">
        <f t="shared" si="5"/>
        <v>1200</v>
      </c>
      <c r="U43" s="39"/>
      <c r="V43" s="39"/>
      <c r="AA43" s="77"/>
    </row>
    <row r="44" spans="1:27" ht="14.25" customHeight="1" x14ac:dyDescent="0.2">
      <c r="A44" s="25"/>
      <c r="B44" s="41" t="s">
        <v>53</v>
      </c>
      <c r="C44" s="43" t="s">
        <v>44</v>
      </c>
      <c r="D44" s="43">
        <v>3</v>
      </c>
      <c r="E44" s="48">
        <v>18</v>
      </c>
      <c r="F44" s="52" t="s">
        <v>12</v>
      </c>
      <c r="G44" s="50">
        <f>366.7/100</f>
        <v>3.6669999999999998</v>
      </c>
      <c r="H44" s="35">
        <v>1100</v>
      </c>
      <c r="I44" s="11">
        <v>600</v>
      </c>
      <c r="K44" s="81">
        <f t="shared" si="6"/>
        <v>27.270248159258252</v>
      </c>
      <c r="L44" s="85">
        <f t="shared" si="1"/>
        <v>40.905372238887381</v>
      </c>
      <c r="M44" s="77"/>
      <c r="O44" s="81">
        <f t="shared" si="2"/>
        <v>6.5448595582219804</v>
      </c>
      <c r="P44" s="85">
        <f t="shared" si="3"/>
        <v>6.5448595582219813</v>
      </c>
      <c r="Q44" s="84"/>
      <c r="R44" s="84"/>
      <c r="S44" s="17">
        <f t="shared" si="4"/>
        <v>1466.8</v>
      </c>
      <c r="T44" s="85">
        <f t="shared" si="5"/>
        <v>1200</v>
      </c>
      <c r="U44" s="39"/>
      <c r="V44" s="39"/>
      <c r="AA44" s="77"/>
    </row>
    <row r="45" spans="1:27" x14ac:dyDescent="0.2">
      <c r="A45" s="23"/>
      <c r="B45" s="54" t="s">
        <v>53</v>
      </c>
      <c r="C45" s="43" t="s">
        <v>20</v>
      </c>
      <c r="D45" s="43">
        <v>10</v>
      </c>
      <c r="E45" s="48" t="s">
        <v>45</v>
      </c>
      <c r="F45" s="49" t="s">
        <v>22</v>
      </c>
      <c r="G45" s="50">
        <v>0.32</v>
      </c>
      <c r="H45" s="35">
        <f t="shared" ref="H45:H76" si="7">G45*$E$11</f>
        <v>192</v>
      </c>
      <c r="I45" s="11">
        <v>100</v>
      </c>
      <c r="K45" s="81">
        <f t="shared" si="6"/>
        <v>312.5</v>
      </c>
      <c r="L45" s="85">
        <f t="shared" si="1"/>
        <v>1562.5</v>
      </c>
      <c r="M45" s="77"/>
      <c r="O45" s="81">
        <f t="shared" si="2"/>
        <v>75</v>
      </c>
      <c r="P45" s="85">
        <f t="shared" si="3"/>
        <v>250</v>
      </c>
      <c r="Q45" s="84"/>
      <c r="R45" s="84"/>
      <c r="S45" s="17">
        <f t="shared" si="4"/>
        <v>128</v>
      </c>
      <c r="T45" s="85">
        <f t="shared" si="5"/>
        <v>4000</v>
      </c>
      <c r="U45" s="39"/>
      <c r="V45" s="39"/>
      <c r="AA45" s="77"/>
    </row>
    <row r="46" spans="1:27" x14ac:dyDescent="0.2">
      <c r="A46" s="24"/>
      <c r="B46" s="54" t="s">
        <v>53</v>
      </c>
      <c r="C46" s="43" t="s">
        <v>20</v>
      </c>
      <c r="D46" s="43">
        <v>10</v>
      </c>
      <c r="E46" s="48" t="s">
        <v>45</v>
      </c>
      <c r="F46" s="49" t="s">
        <v>23</v>
      </c>
      <c r="G46" s="50">
        <v>0.22</v>
      </c>
      <c r="H46" s="35">
        <f t="shared" si="7"/>
        <v>132</v>
      </c>
      <c r="I46" s="11">
        <v>100</v>
      </c>
      <c r="K46" s="81">
        <f t="shared" si="6"/>
        <v>454.54545454545456</v>
      </c>
      <c r="L46" s="85">
        <f t="shared" si="1"/>
        <v>2272.727272727273</v>
      </c>
      <c r="M46" s="77"/>
      <c r="O46" s="81">
        <f t="shared" si="2"/>
        <v>109.09090909090909</v>
      </c>
      <c r="P46" s="85">
        <f t="shared" si="3"/>
        <v>363.63636363636368</v>
      </c>
      <c r="Q46" s="84"/>
      <c r="R46" s="84"/>
      <c r="S46" s="17">
        <f t="shared" si="4"/>
        <v>88</v>
      </c>
      <c r="T46" s="85">
        <f t="shared" si="5"/>
        <v>4000</v>
      </c>
      <c r="U46" s="39"/>
      <c r="V46" s="39"/>
      <c r="AA46" s="77"/>
    </row>
    <row r="47" spans="1:27" x14ac:dyDescent="0.2">
      <c r="A47" s="24"/>
      <c r="B47" s="54" t="s">
        <v>53</v>
      </c>
      <c r="C47" s="43" t="s">
        <v>20</v>
      </c>
      <c r="D47" s="43">
        <v>10</v>
      </c>
      <c r="E47" s="48" t="s">
        <v>45</v>
      </c>
      <c r="F47" s="49" t="s">
        <v>24</v>
      </c>
      <c r="G47" s="50">
        <v>0.06</v>
      </c>
      <c r="H47" s="35">
        <f t="shared" si="7"/>
        <v>36</v>
      </c>
      <c r="I47" s="11">
        <v>100</v>
      </c>
      <c r="K47" s="81">
        <f t="shared" si="6"/>
        <v>1666.6666666666667</v>
      </c>
      <c r="L47" s="85">
        <f t="shared" si="1"/>
        <v>8333.3333333333339</v>
      </c>
      <c r="M47" s="77"/>
      <c r="O47" s="81">
        <f t="shared" si="2"/>
        <v>400</v>
      </c>
      <c r="P47" s="85">
        <f t="shared" si="3"/>
        <v>1333.3333333333333</v>
      </c>
      <c r="Q47" s="84"/>
      <c r="R47" s="84"/>
      <c r="S47" s="17">
        <f t="shared" si="4"/>
        <v>24</v>
      </c>
      <c r="T47" s="85">
        <f t="shared" si="5"/>
        <v>4000</v>
      </c>
      <c r="U47" s="39"/>
      <c r="V47" s="39"/>
      <c r="AA47" s="77"/>
    </row>
    <row r="48" spans="1:27" x14ac:dyDescent="0.2">
      <c r="A48" s="24"/>
      <c r="B48" s="54" t="s">
        <v>53</v>
      </c>
      <c r="C48" s="43" t="s">
        <v>20</v>
      </c>
      <c r="D48" s="43">
        <v>10</v>
      </c>
      <c r="E48" s="48" t="s">
        <v>45</v>
      </c>
      <c r="F48" s="49" t="s">
        <v>25</v>
      </c>
      <c r="G48" s="50">
        <v>1.4999999999999999E-2</v>
      </c>
      <c r="H48" s="99">
        <f t="shared" si="7"/>
        <v>9</v>
      </c>
      <c r="I48" s="11">
        <v>100</v>
      </c>
      <c r="K48" s="81">
        <f t="shared" si="6"/>
        <v>6666.666666666667</v>
      </c>
      <c r="L48" s="85">
        <f t="shared" si="1"/>
        <v>33333.333333333336</v>
      </c>
      <c r="M48" s="77"/>
      <c r="O48" s="81">
        <f t="shared" si="2"/>
        <v>1600</v>
      </c>
      <c r="P48" s="85">
        <f t="shared" si="3"/>
        <v>5333.333333333333</v>
      </c>
      <c r="Q48" s="84"/>
      <c r="R48" s="84"/>
      <c r="S48" s="17">
        <f t="shared" si="4"/>
        <v>6</v>
      </c>
      <c r="T48" s="85">
        <f t="shared" si="5"/>
        <v>4000</v>
      </c>
      <c r="U48" s="39"/>
      <c r="V48" s="39"/>
      <c r="AA48" s="77"/>
    </row>
    <row r="49" spans="1:27" x14ac:dyDescent="0.2">
      <c r="A49" s="24"/>
      <c r="B49" s="54" t="s">
        <v>53</v>
      </c>
      <c r="C49" s="55" t="s">
        <v>21</v>
      </c>
      <c r="D49" s="43">
        <v>6</v>
      </c>
      <c r="E49" s="48" t="s">
        <v>45</v>
      </c>
      <c r="F49" s="49" t="s">
        <v>22</v>
      </c>
      <c r="G49" s="50">
        <v>0.48</v>
      </c>
      <c r="H49" s="35">
        <f t="shared" si="7"/>
        <v>288</v>
      </c>
      <c r="I49" s="11">
        <v>100</v>
      </c>
      <c r="K49" s="81">
        <f t="shared" si="6"/>
        <v>208.33333333333334</v>
      </c>
      <c r="L49" s="85">
        <f t="shared" si="1"/>
        <v>625</v>
      </c>
      <c r="M49" s="77"/>
      <c r="O49" s="81">
        <f t="shared" si="2"/>
        <v>50</v>
      </c>
      <c r="P49" s="85">
        <f t="shared" si="3"/>
        <v>100</v>
      </c>
      <c r="Q49" s="84"/>
      <c r="R49" s="84"/>
      <c r="S49" s="17">
        <f t="shared" si="4"/>
        <v>192</v>
      </c>
      <c r="T49" s="85">
        <f t="shared" si="5"/>
        <v>2400</v>
      </c>
      <c r="U49" s="39"/>
      <c r="V49" s="39"/>
      <c r="AA49" s="77"/>
    </row>
    <row r="50" spans="1:27" x14ac:dyDescent="0.2">
      <c r="A50" s="24"/>
      <c r="B50" s="54" t="s">
        <v>53</v>
      </c>
      <c r="C50" s="55" t="s">
        <v>21</v>
      </c>
      <c r="D50" s="43">
        <v>6</v>
      </c>
      <c r="E50" s="48" t="s">
        <v>45</v>
      </c>
      <c r="F50" s="49" t="s">
        <v>23</v>
      </c>
      <c r="G50" s="50">
        <v>0.28000000000000003</v>
      </c>
      <c r="H50" s="35">
        <f t="shared" si="7"/>
        <v>168.00000000000003</v>
      </c>
      <c r="I50" s="11">
        <v>100</v>
      </c>
      <c r="K50" s="81">
        <f t="shared" si="6"/>
        <v>357.14285714285711</v>
      </c>
      <c r="L50" s="85">
        <f t="shared" si="1"/>
        <v>1071.4285714285713</v>
      </c>
      <c r="M50" s="77"/>
      <c r="O50" s="81">
        <f t="shared" si="2"/>
        <v>85.714285714285708</v>
      </c>
      <c r="P50" s="85">
        <f t="shared" si="3"/>
        <v>171.42857142857144</v>
      </c>
      <c r="Q50" s="84"/>
      <c r="R50" s="84"/>
      <c r="S50" s="17">
        <f t="shared" si="4"/>
        <v>112.00000000000001</v>
      </c>
      <c r="T50" s="85">
        <f t="shared" si="5"/>
        <v>2400</v>
      </c>
      <c r="U50" s="39"/>
      <c r="V50" s="39"/>
      <c r="AA50" s="77"/>
    </row>
    <row r="51" spans="1:27" x14ac:dyDescent="0.2">
      <c r="A51" s="24"/>
      <c r="B51" s="54" t="s">
        <v>53</v>
      </c>
      <c r="C51" s="55" t="s">
        <v>21</v>
      </c>
      <c r="D51" s="43">
        <v>6</v>
      </c>
      <c r="E51" s="48" t="s">
        <v>45</v>
      </c>
      <c r="F51" s="49" t="s">
        <v>24</v>
      </c>
      <c r="G51" s="50">
        <v>0.08</v>
      </c>
      <c r="H51" s="35">
        <f t="shared" si="7"/>
        <v>48</v>
      </c>
      <c r="I51" s="11">
        <v>100</v>
      </c>
      <c r="K51" s="81">
        <f t="shared" si="6"/>
        <v>1250</v>
      </c>
      <c r="L51" s="85">
        <f t="shared" si="1"/>
        <v>3750</v>
      </c>
      <c r="M51" s="77"/>
      <c r="O51" s="81">
        <f t="shared" si="2"/>
        <v>300</v>
      </c>
      <c r="P51" s="85">
        <f t="shared" si="3"/>
        <v>600</v>
      </c>
      <c r="Q51" s="84"/>
      <c r="R51" s="84"/>
      <c r="S51" s="17">
        <f t="shared" si="4"/>
        <v>32</v>
      </c>
      <c r="T51" s="85">
        <f t="shared" si="5"/>
        <v>2400</v>
      </c>
      <c r="U51" s="39"/>
      <c r="V51" s="39"/>
      <c r="AA51" s="77"/>
    </row>
    <row r="52" spans="1:27" x14ac:dyDescent="0.2">
      <c r="A52" s="25"/>
      <c r="B52" s="54" t="s">
        <v>53</v>
      </c>
      <c r="C52" s="55" t="s">
        <v>21</v>
      </c>
      <c r="D52" s="56">
        <v>6</v>
      </c>
      <c r="E52" s="48" t="s">
        <v>45</v>
      </c>
      <c r="F52" s="49" t="s">
        <v>25</v>
      </c>
      <c r="G52" s="50">
        <v>0.02</v>
      </c>
      <c r="H52" s="35">
        <f t="shared" si="7"/>
        <v>12</v>
      </c>
      <c r="I52" s="11">
        <v>100</v>
      </c>
      <c r="K52" s="81">
        <f t="shared" si="6"/>
        <v>5000</v>
      </c>
      <c r="L52" s="85">
        <f t="shared" si="1"/>
        <v>15000</v>
      </c>
      <c r="M52" s="77"/>
      <c r="O52" s="81">
        <f t="shared" si="2"/>
        <v>1200</v>
      </c>
      <c r="P52" s="85">
        <f t="shared" si="3"/>
        <v>2400</v>
      </c>
      <c r="Q52" s="84"/>
      <c r="R52" s="84"/>
      <c r="S52" s="17">
        <f t="shared" si="4"/>
        <v>8</v>
      </c>
      <c r="T52" s="85">
        <f t="shared" si="5"/>
        <v>2400</v>
      </c>
      <c r="U52" s="39"/>
      <c r="V52" s="39"/>
      <c r="AA52" s="77"/>
    </row>
    <row r="53" spans="1:27" ht="14.25" customHeight="1" x14ac:dyDescent="0.2">
      <c r="A53" s="23"/>
      <c r="B53" s="54" t="s">
        <v>53</v>
      </c>
      <c r="C53" s="57" t="s">
        <v>54</v>
      </c>
      <c r="D53" s="57">
        <v>6</v>
      </c>
      <c r="E53" s="58" t="s">
        <v>46</v>
      </c>
      <c r="F53" s="49" t="s">
        <v>25</v>
      </c>
      <c r="G53" s="59">
        <f>80/600</f>
        <v>0.13333333333333333</v>
      </c>
      <c r="H53" s="35">
        <f t="shared" si="7"/>
        <v>80</v>
      </c>
      <c r="I53" s="28">
        <v>600</v>
      </c>
      <c r="K53" s="81">
        <f t="shared" si="6"/>
        <v>750</v>
      </c>
      <c r="L53" s="85">
        <f t="shared" si="1"/>
        <v>2250</v>
      </c>
      <c r="M53" s="77"/>
      <c r="O53" s="81">
        <f t="shared" si="2"/>
        <v>180</v>
      </c>
      <c r="P53" s="85">
        <f t="shared" si="3"/>
        <v>360</v>
      </c>
      <c r="Q53" s="84"/>
      <c r="R53" s="84"/>
      <c r="S53" s="17">
        <f t="shared" si="4"/>
        <v>53.333333333333336</v>
      </c>
      <c r="T53" s="85">
        <f t="shared" si="5"/>
        <v>2400</v>
      </c>
      <c r="AA53" s="77"/>
    </row>
    <row r="54" spans="1:27" ht="14.25" customHeight="1" x14ac:dyDescent="0.2">
      <c r="A54" s="24"/>
      <c r="B54" s="54" t="s">
        <v>53</v>
      </c>
      <c r="C54" s="57" t="s">
        <v>54</v>
      </c>
      <c r="D54" s="57">
        <v>6</v>
      </c>
      <c r="E54" s="58" t="s">
        <v>47</v>
      </c>
      <c r="F54" s="49" t="s">
        <v>7</v>
      </c>
      <c r="G54" s="59">
        <f>300/600</f>
        <v>0.5</v>
      </c>
      <c r="H54" s="35">
        <f t="shared" si="7"/>
        <v>300</v>
      </c>
      <c r="I54" s="28">
        <v>600</v>
      </c>
      <c r="K54" s="81">
        <f t="shared" si="6"/>
        <v>200</v>
      </c>
      <c r="L54" s="85">
        <f t="shared" si="1"/>
        <v>600</v>
      </c>
      <c r="M54" s="77"/>
      <c r="O54" s="81">
        <f t="shared" si="2"/>
        <v>48</v>
      </c>
      <c r="P54" s="85">
        <f t="shared" si="3"/>
        <v>96</v>
      </c>
      <c r="Q54" s="84"/>
      <c r="R54" s="84"/>
      <c r="S54" s="17">
        <f t="shared" si="4"/>
        <v>200</v>
      </c>
      <c r="T54" s="85">
        <f t="shared" si="5"/>
        <v>2400</v>
      </c>
      <c r="AA54" s="77"/>
    </row>
    <row r="55" spans="1:27" ht="14.25" customHeight="1" x14ac:dyDescent="0.2">
      <c r="A55" s="24"/>
      <c r="B55" s="54" t="s">
        <v>53</v>
      </c>
      <c r="C55" s="57" t="s">
        <v>54</v>
      </c>
      <c r="D55" s="57">
        <v>6</v>
      </c>
      <c r="E55" s="58" t="s">
        <v>48</v>
      </c>
      <c r="F55" s="49" t="s">
        <v>8</v>
      </c>
      <c r="G55" s="59">
        <f>620/600</f>
        <v>1.0333333333333334</v>
      </c>
      <c r="H55" s="35">
        <f t="shared" si="7"/>
        <v>620.00000000000011</v>
      </c>
      <c r="I55" s="28">
        <v>600</v>
      </c>
      <c r="K55" s="81">
        <f t="shared" si="6"/>
        <v>96.774193548387089</v>
      </c>
      <c r="L55" s="85">
        <f t="shared" si="1"/>
        <v>290.32258064516128</v>
      </c>
      <c r="M55" s="77"/>
      <c r="O55" s="81">
        <f t="shared" si="2"/>
        <v>23.2258064516129</v>
      </c>
      <c r="P55" s="85">
        <f t="shared" si="3"/>
        <v>46.451612903225801</v>
      </c>
      <c r="Q55" s="84"/>
      <c r="R55" s="84"/>
      <c r="S55" s="17">
        <f t="shared" si="4"/>
        <v>413.33333333333337</v>
      </c>
      <c r="T55" s="85">
        <f t="shared" si="5"/>
        <v>2400</v>
      </c>
      <c r="AA55" s="77"/>
    </row>
    <row r="56" spans="1:27" ht="14.25" customHeight="1" x14ac:dyDescent="0.2">
      <c r="A56" s="24"/>
      <c r="B56" s="54" t="s">
        <v>53</v>
      </c>
      <c r="C56" s="57" t="s">
        <v>54</v>
      </c>
      <c r="D56" s="57">
        <v>6</v>
      </c>
      <c r="E56" s="58" t="s">
        <v>49</v>
      </c>
      <c r="F56" s="49" t="s">
        <v>9</v>
      </c>
      <c r="G56" s="59">
        <f>960/600</f>
        <v>1.6</v>
      </c>
      <c r="H56" s="35">
        <f t="shared" si="7"/>
        <v>960</v>
      </c>
      <c r="I56" s="28">
        <v>600</v>
      </c>
      <c r="K56" s="81">
        <f t="shared" si="6"/>
        <v>62.5</v>
      </c>
      <c r="L56" s="85">
        <f t="shared" si="1"/>
        <v>187.5</v>
      </c>
      <c r="M56" s="77"/>
      <c r="O56" s="81">
        <f t="shared" si="2"/>
        <v>15</v>
      </c>
      <c r="P56" s="85">
        <f t="shared" si="3"/>
        <v>30</v>
      </c>
      <c r="Q56" s="84"/>
      <c r="R56" s="84"/>
      <c r="S56" s="17">
        <f t="shared" si="4"/>
        <v>640</v>
      </c>
      <c r="T56" s="85">
        <f t="shared" si="5"/>
        <v>2400</v>
      </c>
      <c r="AA56" s="77"/>
    </row>
    <row r="57" spans="1:27" ht="14.25" customHeight="1" x14ac:dyDescent="0.2">
      <c r="A57" s="25"/>
      <c r="B57" s="54" t="s">
        <v>53</v>
      </c>
      <c r="C57" s="57" t="s">
        <v>54</v>
      </c>
      <c r="D57" s="57">
        <v>6</v>
      </c>
      <c r="E57" s="58" t="s">
        <v>50</v>
      </c>
      <c r="F57" s="49" t="s">
        <v>10</v>
      </c>
      <c r="G57" s="59">
        <f>2070/600</f>
        <v>3.45</v>
      </c>
      <c r="H57" s="35">
        <f t="shared" si="7"/>
        <v>2070</v>
      </c>
      <c r="I57" s="28">
        <v>600</v>
      </c>
      <c r="K57" s="81">
        <f t="shared" si="6"/>
        <v>28.985507246376809</v>
      </c>
      <c r="L57" s="85">
        <f t="shared" si="1"/>
        <v>86.956521739130423</v>
      </c>
      <c r="M57" s="77"/>
      <c r="O57" s="81">
        <f t="shared" si="2"/>
        <v>6.9565217391304346</v>
      </c>
      <c r="P57" s="85">
        <f t="shared" si="3"/>
        <v>13.913043478260869</v>
      </c>
      <c r="Q57" s="84"/>
      <c r="R57" s="84"/>
      <c r="S57" s="17">
        <f t="shared" si="4"/>
        <v>1380</v>
      </c>
      <c r="T57" s="85">
        <f t="shared" si="5"/>
        <v>2400</v>
      </c>
      <c r="AA57" s="77"/>
    </row>
    <row r="58" spans="1:27" ht="15" x14ac:dyDescent="0.25">
      <c r="A58" s="23"/>
      <c r="B58" s="54" t="s">
        <v>53</v>
      </c>
      <c r="C58" s="43" t="s">
        <v>55</v>
      </c>
      <c r="D58" s="43">
        <v>3</v>
      </c>
      <c r="E58" s="48">
        <v>14</v>
      </c>
      <c r="F58" s="49" t="s">
        <v>7</v>
      </c>
      <c r="G58" s="60">
        <f>150/600</f>
        <v>0.25</v>
      </c>
      <c r="H58" s="35">
        <f t="shared" si="7"/>
        <v>150</v>
      </c>
      <c r="I58" s="6">
        <v>600</v>
      </c>
      <c r="J58"/>
      <c r="K58" s="81">
        <f t="shared" si="6"/>
        <v>400</v>
      </c>
      <c r="L58" s="85">
        <f t="shared" si="1"/>
        <v>600</v>
      </c>
      <c r="M58" s="77"/>
      <c r="N58"/>
      <c r="O58" s="81">
        <f t="shared" si="2"/>
        <v>96</v>
      </c>
      <c r="P58" s="85">
        <f t="shared" si="3"/>
        <v>96</v>
      </c>
      <c r="Q58" s="84"/>
      <c r="R58" s="84"/>
      <c r="S58" s="17">
        <f t="shared" si="4"/>
        <v>100</v>
      </c>
      <c r="T58" s="85">
        <f t="shared" si="5"/>
        <v>1200</v>
      </c>
      <c r="AA58" s="77"/>
    </row>
    <row r="59" spans="1:27" x14ac:dyDescent="0.2">
      <c r="A59" s="24"/>
      <c r="B59" s="54" t="s">
        <v>53</v>
      </c>
      <c r="C59" s="43" t="s">
        <v>55</v>
      </c>
      <c r="D59" s="61">
        <v>3</v>
      </c>
      <c r="E59" s="48">
        <v>16</v>
      </c>
      <c r="F59" s="49" t="s">
        <v>9</v>
      </c>
      <c r="G59" s="60">
        <f>460/600</f>
        <v>0.76666666666666672</v>
      </c>
      <c r="H59" s="35">
        <f t="shared" si="7"/>
        <v>460.00000000000006</v>
      </c>
      <c r="I59" s="6">
        <v>600</v>
      </c>
      <c r="K59" s="81">
        <f t="shared" si="6"/>
        <v>130.43478260869566</v>
      </c>
      <c r="L59" s="85">
        <f t="shared" si="1"/>
        <v>195.6521739130435</v>
      </c>
      <c r="M59" s="77"/>
      <c r="O59" s="81">
        <f t="shared" si="2"/>
        <v>31.304347826086953</v>
      </c>
      <c r="P59" s="85">
        <f t="shared" si="3"/>
        <v>31.30434782608695</v>
      </c>
      <c r="Q59" s="84"/>
      <c r="R59" s="84"/>
      <c r="S59" s="17">
        <f t="shared" si="4"/>
        <v>306.66666666666674</v>
      </c>
      <c r="T59" s="85">
        <f t="shared" si="5"/>
        <v>1200</v>
      </c>
      <c r="AA59" s="77"/>
    </row>
    <row r="60" spans="1:27" x14ac:dyDescent="0.2">
      <c r="A60" s="24"/>
      <c r="B60" s="54" t="s">
        <v>53</v>
      </c>
      <c r="C60" s="43" t="s">
        <v>55</v>
      </c>
      <c r="D60" s="61">
        <v>3</v>
      </c>
      <c r="E60" s="48">
        <v>25</v>
      </c>
      <c r="F60" s="49" t="s">
        <v>10</v>
      </c>
      <c r="G60" s="60">
        <f>960/600</f>
        <v>1.6</v>
      </c>
      <c r="H60" s="35">
        <f t="shared" si="7"/>
        <v>960</v>
      </c>
      <c r="I60" s="6">
        <v>600</v>
      </c>
      <c r="K60" s="81">
        <f t="shared" si="6"/>
        <v>62.5</v>
      </c>
      <c r="L60" s="85">
        <f t="shared" si="1"/>
        <v>93.75</v>
      </c>
      <c r="M60" s="77"/>
      <c r="O60" s="81">
        <f t="shared" si="2"/>
        <v>15</v>
      </c>
      <c r="P60" s="85">
        <f t="shared" si="3"/>
        <v>15</v>
      </c>
      <c r="Q60" s="84"/>
      <c r="R60" s="84"/>
      <c r="S60" s="17">
        <f t="shared" si="4"/>
        <v>640</v>
      </c>
      <c r="T60" s="85">
        <f t="shared" si="5"/>
        <v>1200</v>
      </c>
      <c r="AA60" s="77"/>
    </row>
    <row r="61" spans="1:27" x14ac:dyDescent="0.2">
      <c r="A61" s="24"/>
      <c r="B61" s="54" t="s">
        <v>53</v>
      </c>
      <c r="C61" s="43" t="s">
        <v>55</v>
      </c>
      <c r="D61" s="61">
        <v>3</v>
      </c>
      <c r="E61" s="48">
        <v>17</v>
      </c>
      <c r="F61" s="49" t="s">
        <v>11</v>
      </c>
      <c r="G61" s="60">
        <f>1600/600</f>
        <v>2.6666666666666665</v>
      </c>
      <c r="H61" s="35">
        <f t="shared" si="7"/>
        <v>1600</v>
      </c>
      <c r="I61" s="6">
        <v>600</v>
      </c>
      <c r="K61" s="81">
        <f t="shared" si="6"/>
        <v>37.5</v>
      </c>
      <c r="L61" s="85">
        <f t="shared" si="1"/>
        <v>56.25</v>
      </c>
      <c r="M61" s="77"/>
      <c r="O61" s="81">
        <f t="shared" si="2"/>
        <v>9</v>
      </c>
      <c r="P61" s="85">
        <f t="shared" si="3"/>
        <v>9</v>
      </c>
      <c r="Q61" s="84"/>
      <c r="R61" s="84"/>
      <c r="S61" s="17">
        <f t="shared" si="4"/>
        <v>1066.6666666666667</v>
      </c>
      <c r="T61" s="85">
        <f t="shared" si="5"/>
        <v>1200</v>
      </c>
      <c r="AA61" s="77"/>
    </row>
    <row r="62" spans="1:27" x14ac:dyDescent="0.2">
      <c r="A62" s="25"/>
      <c r="B62" s="54" t="s">
        <v>53</v>
      </c>
      <c r="C62" s="61" t="s">
        <v>56</v>
      </c>
      <c r="D62" s="61">
        <v>3</v>
      </c>
      <c r="E62" s="48">
        <v>24</v>
      </c>
      <c r="F62" s="49" t="s">
        <v>17</v>
      </c>
      <c r="G62" s="60">
        <f>1600/600</f>
        <v>2.6666666666666665</v>
      </c>
      <c r="H62" s="35">
        <f t="shared" si="7"/>
        <v>1600</v>
      </c>
      <c r="I62" s="4">
        <v>600</v>
      </c>
      <c r="K62" s="81">
        <f t="shared" si="6"/>
        <v>37.5</v>
      </c>
      <c r="L62" s="85">
        <f t="shared" si="1"/>
        <v>56.25</v>
      </c>
      <c r="M62" s="77"/>
      <c r="O62" s="81">
        <f t="shared" si="2"/>
        <v>9</v>
      </c>
      <c r="P62" s="85">
        <f t="shared" si="3"/>
        <v>9</v>
      </c>
      <c r="Q62" s="84"/>
      <c r="R62" s="84"/>
      <c r="S62" s="17">
        <f t="shared" si="4"/>
        <v>1066.6666666666667</v>
      </c>
      <c r="T62" s="85">
        <f t="shared" si="5"/>
        <v>1200</v>
      </c>
      <c r="AA62" s="77"/>
    </row>
    <row r="63" spans="1:27" x14ac:dyDescent="0.2">
      <c r="A63" s="30"/>
      <c r="B63" s="54" t="s">
        <v>53</v>
      </c>
      <c r="C63" s="43" t="s">
        <v>51</v>
      </c>
      <c r="D63" s="43">
        <v>4</v>
      </c>
      <c r="E63" s="48">
        <v>16</v>
      </c>
      <c r="F63" s="49" t="s">
        <v>9</v>
      </c>
      <c r="G63" s="60">
        <f xml:space="preserve"> 490/600</f>
        <v>0.81666666666666665</v>
      </c>
      <c r="H63" s="35">
        <f t="shared" si="7"/>
        <v>490</v>
      </c>
      <c r="I63" s="19">
        <v>600</v>
      </c>
      <c r="K63" s="81">
        <f t="shared" si="6"/>
        <v>122.44897959183673</v>
      </c>
      <c r="L63" s="85">
        <f t="shared" si="1"/>
        <v>244.89795918367346</v>
      </c>
      <c r="M63" s="77"/>
      <c r="O63" s="81">
        <f t="shared" si="2"/>
        <v>29.387755102040817</v>
      </c>
      <c r="P63" s="85">
        <f t="shared" si="3"/>
        <v>39.183673469387756</v>
      </c>
      <c r="Q63" s="84"/>
      <c r="R63" s="84"/>
      <c r="S63" s="17">
        <f t="shared" si="4"/>
        <v>326.66666666666669</v>
      </c>
      <c r="T63" s="85">
        <f t="shared" si="5"/>
        <v>1600</v>
      </c>
      <c r="AA63" s="77"/>
    </row>
    <row r="64" spans="1:27" ht="14.25" customHeight="1" x14ac:dyDescent="0.2">
      <c r="A64" s="31"/>
      <c r="B64" s="54" t="s">
        <v>53</v>
      </c>
      <c r="C64" s="62" t="s">
        <v>51</v>
      </c>
      <c r="D64" s="43">
        <v>4</v>
      </c>
      <c r="E64" s="48">
        <v>25</v>
      </c>
      <c r="F64" s="49" t="s">
        <v>10</v>
      </c>
      <c r="G64" s="60">
        <f>1150/600</f>
        <v>1.9166666666666667</v>
      </c>
      <c r="H64" s="35">
        <f t="shared" si="7"/>
        <v>1150</v>
      </c>
      <c r="I64" s="19">
        <v>600</v>
      </c>
      <c r="K64" s="81">
        <f t="shared" si="6"/>
        <v>52.173913043478258</v>
      </c>
      <c r="L64" s="85">
        <f t="shared" si="1"/>
        <v>104.34782608695652</v>
      </c>
      <c r="M64" s="77"/>
      <c r="O64" s="81">
        <f t="shared" si="2"/>
        <v>12.521739130434781</v>
      </c>
      <c r="P64" s="85">
        <f t="shared" si="3"/>
        <v>16.695652173913043</v>
      </c>
      <c r="Q64" s="84"/>
      <c r="R64" s="84"/>
      <c r="S64" s="17">
        <f t="shared" si="4"/>
        <v>766.66666666666663</v>
      </c>
      <c r="T64" s="85">
        <f t="shared" si="5"/>
        <v>1600</v>
      </c>
      <c r="AA64" s="77"/>
    </row>
    <row r="65" spans="1:27" x14ac:dyDescent="0.2">
      <c r="A65" s="31"/>
      <c r="B65" s="54" t="s">
        <v>53</v>
      </c>
      <c r="C65" s="63" t="s">
        <v>51</v>
      </c>
      <c r="D65" s="56">
        <v>4</v>
      </c>
      <c r="E65" s="64">
        <v>17</v>
      </c>
      <c r="F65" s="49" t="s">
        <v>11</v>
      </c>
      <c r="G65" s="60">
        <f>1800/350</f>
        <v>5.1428571428571432</v>
      </c>
      <c r="H65" s="35">
        <f t="shared" si="7"/>
        <v>3085.7142857142858</v>
      </c>
      <c r="I65" s="19">
        <v>350</v>
      </c>
      <c r="K65" s="81">
        <f t="shared" si="6"/>
        <v>19.444444444444443</v>
      </c>
      <c r="L65" s="85">
        <f t="shared" si="1"/>
        <v>38.888888888888886</v>
      </c>
      <c r="M65" s="77"/>
      <c r="O65" s="81">
        <f t="shared" si="2"/>
        <v>4.6666666666666661</v>
      </c>
      <c r="P65" s="85">
        <f t="shared" si="3"/>
        <v>6.2222222222222205</v>
      </c>
      <c r="Q65" s="84"/>
      <c r="R65" s="84"/>
      <c r="S65" s="17">
        <f t="shared" si="4"/>
        <v>2057.1428571428573</v>
      </c>
      <c r="T65" s="85">
        <f t="shared" si="5"/>
        <v>1600</v>
      </c>
      <c r="AA65" s="77"/>
    </row>
    <row r="66" spans="1:27" ht="15" customHeight="1" x14ac:dyDescent="0.25">
      <c r="A66" s="32"/>
      <c r="B66" s="54" t="s">
        <v>53</v>
      </c>
      <c r="C66" s="62" t="s">
        <v>60</v>
      </c>
      <c r="D66" s="43">
        <v>8</v>
      </c>
      <c r="E66" s="43" t="s">
        <v>45</v>
      </c>
      <c r="F66" s="64" t="s">
        <v>62</v>
      </c>
      <c r="G66" s="65">
        <v>0.03</v>
      </c>
      <c r="H66" s="35">
        <f t="shared" si="7"/>
        <v>18</v>
      </c>
      <c r="I66" s="19">
        <v>100</v>
      </c>
      <c r="K66" s="81">
        <f t="shared" si="6"/>
        <v>3333.3333333333335</v>
      </c>
      <c r="L66" s="85">
        <f t="shared" si="1"/>
        <v>13333.333333333334</v>
      </c>
      <c r="M66" s="77"/>
      <c r="O66" s="81">
        <f t="shared" si="2"/>
        <v>800</v>
      </c>
      <c r="P66" s="85">
        <f t="shared" si="3"/>
        <v>2133.3333333333335</v>
      </c>
      <c r="Q66" s="84"/>
      <c r="R66" s="84"/>
      <c r="S66" s="17">
        <f t="shared" si="4"/>
        <v>12</v>
      </c>
      <c r="T66" s="85">
        <f t="shared" si="5"/>
        <v>3200</v>
      </c>
      <c r="AA66" s="77"/>
    </row>
    <row r="67" spans="1:27" x14ac:dyDescent="0.2">
      <c r="A67" s="31"/>
      <c r="B67" s="54" t="s">
        <v>53</v>
      </c>
      <c r="C67" s="62" t="s">
        <v>60</v>
      </c>
      <c r="D67" s="43">
        <v>8</v>
      </c>
      <c r="E67" s="43" t="s">
        <v>45</v>
      </c>
      <c r="F67" s="64" t="s">
        <v>63</v>
      </c>
      <c r="G67" s="65">
        <v>0.13</v>
      </c>
      <c r="H67" s="35">
        <f t="shared" si="7"/>
        <v>78</v>
      </c>
      <c r="I67" s="19">
        <v>100</v>
      </c>
      <c r="K67" s="81">
        <f t="shared" si="6"/>
        <v>769.23076923076917</v>
      </c>
      <c r="L67" s="85">
        <f t="shared" si="1"/>
        <v>3076.9230769230767</v>
      </c>
      <c r="M67" s="77"/>
      <c r="O67" s="81">
        <f t="shared" si="2"/>
        <v>184.61538461538461</v>
      </c>
      <c r="P67" s="85">
        <f t="shared" si="3"/>
        <v>492.30769230769232</v>
      </c>
      <c r="Q67" s="84"/>
      <c r="R67" s="84"/>
      <c r="S67" s="17">
        <f t="shared" si="4"/>
        <v>52</v>
      </c>
      <c r="T67" s="85">
        <f t="shared" si="5"/>
        <v>3200</v>
      </c>
      <c r="AA67" s="77"/>
    </row>
    <row r="68" spans="1:27" x14ac:dyDescent="0.2">
      <c r="A68" s="31"/>
      <c r="B68" s="54" t="s">
        <v>53</v>
      </c>
      <c r="C68" s="62" t="s">
        <v>60</v>
      </c>
      <c r="D68" s="43">
        <v>8</v>
      </c>
      <c r="E68" s="43" t="s">
        <v>45</v>
      </c>
      <c r="F68" s="64" t="s">
        <v>64</v>
      </c>
      <c r="G68" s="65">
        <v>0.3</v>
      </c>
      <c r="H68" s="35">
        <f t="shared" si="7"/>
        <v>180</v>
      </c>
      <c r="I68" s="19">
        <v>100</v>
      </c>
      <c r="K68" s="81">
        <f t="shared" si="6"/>
        <v>333.33333333333337</v>
      </c>
      <c r="L68" s="85">
        <f t="shared" si="1"/>
        <v>1333.3333333333335</v>
      </c>
      <c r="M68" s="77"/>
      <c r="O68" s="81">
        <f t="shared" si="2"/>
        <v>80</v>
      </c>
      <c r="P68" s="85">
        <f t="shared" si="3"/>
        <v>213.33333333333334</v>
      </c>
      <c r="Q68" s="84"/>
      <c r="R68" s="84"/>
      <c r="S68" s="17">
        <f t="shared" si="4"/>
        <v>120</v>
      </c>
      <c r="T68" s="85">
        <f t="shared" si="5"/>
        <v>3200</v>
      </c>
      <c r="AA68" s="77"/>
    </row>
    <row r="69" spans="1:27" x14ac:dyDescent="0.2">
      <c r="A69" s="31"/>
      <c r="B69" s="54" t="s">
        <v>53</v>
      </c>
      <c r="C69" s="62" t="s">
        <v>60</v>
      </c>
      <c r="D69" s="43">
        <v>8</v>
      </c>
      <c r="E69" s="43" t="s">
        <v>45</v>
      </c>
      <c r="F69" s="64" t="s">
        <v>65</v>
      </c>
      <c r="G69" s="65">
        <v>0.5</v>
      </c>
      <c r="H69" s="35">
        <f t="shared" si="7"/>
        <v>300</v>
      </c>
      <c r="I69" s="19">
        <v>100</v>
      </c>
      <c r="K69" s="81">
        <f t="shared" si="6"/>
        <v>200</v>
      </c>
      <c r="L69" s="85">
        <f t="shared" si="1"/>
        <v>800</v>
      </c>
      <c r="M69" s="77"/>
      <c r="O69" s="81">
        <f t="shared" si="2"/>
        <v>48</v>
      </c>
      <c r="P69" s="85">
        <f t="shared" si="3"/>
        <v>128</v>
      </c>
      <c r="Q69" s="84"/>
      <c r="R69" s="84"/>
      <c r="S69" s="17">
        <f t="shared" si="4"/>
        <v>200</v>
      </c>
      <c r="T69" s="85">
        <f t="shared" si="5"/>
        <v>3200</v>
      </c>
      <c r="AA69" s="77"/>
    </row>
    <row r="70" spans="1:27" x14ac:dyDescent="0.2">
      <c r="A70" s="31"/>
      <c r="B70" s="54" t="s">
        <v>53</v>
      </c>
      <c r="C70" s="62" t="s">
        <v>60</v>
      </c>
      <c r="D70" s="43">
        <v>8</v>
      </c>
      <c r="E70" s="43">
        <v>13</v>
      </c>
      <c r="F70" s="64" t="s">
        <v>66</v>
      </c>
      <c r="G70" s="65">
        <v>7.0000000000000007E-2</v>
      </c>
      <c r="H70" s="35">
        <f t="shared" si="7"/>
        <v>42.000000000000007</v>
      </c>
      <c r="I70" s="19">
        <v>100</v>
      </c>
      <c r="K70" s="81">
        <f t="shared" si="6"/>
        <v>1428.5714285714284</v>
      </c>
      <c r="L70" s="85">
        <f t="shared" si="1"/>
        <v>5714.2857142857138</v>
      </c>
      <c r="M70" s="77"/>
      <c r="O70" s="81">
        <f t="shared" si="2"/>
        <v>342.85714285714283</v>
      </c>
      <c r="P70" s="85">
        <f t="shared" si="3"/>
        <v>914.28571428571422</v>
      </c>
      <c r="Q70" s="84"/>
      <c r="R70" s="84"/>
      <c r="S70" s="17">
        <f t="shared" si="4"/>
        <v>28.000000000000004</v>
      </c>
      <c r="T70" s="85">
        <f t="shared" si="5"/>
        <v>3200</v>
      </c>
      <c r="AA70" s="77"/>
    </row>
    <row r="71" spans="1:27" x14ac:dyDescent="0.2">
      <c r="A71" s="33"/>
      <c r="B71" s="54" t="s">
        <v>53</v>
      </c>
      <c r="C71" s="62" t="s">
        <v>60</v>
      </c>
      <c r="D71" s="43">
        <v>8</v>
      </c>
      <c r="E71" s="43">
        <v>14</v>
      </c>
      <c r="F71" s="64" t="s">
        <v>67</v>
      </c>
      <c r="G71" s="65">
        <v>0.27</v>
      </c>
      <c r="H71" s="35">
        <f t="shared" si="7"/>
        <v>162</v>
      </c>
      <c r="I71" s="19">
        <v>100</v>
      </c>
      <c r="K71" s="81">
        <f t="shared" si="6"/>
        <v>370.37037037037032</v>
      </c>
      <c r="L71" s="85">
        <f t="shared" si="1"/>
        <v>1481.4814814814813</v>
      </c>
      <c r="M71" s="77"/>
      <c r="O71" s="81">
        <f t="shared" si="2"/>
        <v>88.888888888888886</v>
      </c>
      <c r="P71" s="85">
        <f t="shared" si="3"/>
        <v>237.03703703703704</v>
      </c>
      <c r="Q71" s="84"/>
      <c r="R71" s="84"/>
      <c r="S71" s="17">
        <f t="shared" si="4"/>
        <v>108</v>
      </c>
      <c r="T71" s="85">
        <f t="shared" si="5"/>
        <v>3200</v>
      </c>
      <c r="AA71" s="77"/>
    </row>
    <row r="72" spans="1:27" ht="14.25" customHeight="1" x14ac:dyDescent="0.2">
      <c r="A72" s="30"/>
      <c r="B72" s="54" t="s">
        <v>53</v>
      </c>
      <c r="C72" s="62" t="s">
        <v>68</v>
      </c>
      <c r="D72" s="43">
        <v>3</v>
      </c>
      <c r="E72" s="43">
        <v>13</v>
      </c>
      <c r="F72" s="64" t="s">
        <v>66</v>
      </c>
      <c r="G72" s="65">
        <f>32/600</f>
        <v>5.3333333333333337E-2</v>
      </c>
      <c r="H72" s="35">
        <f t="shared" si="7"/>
        <v>32</v>
      </c>
      <c r="I72" s="19">
        <v>600</v>
      </c>
      <c r="K72" s="81">
        <f t="shared" si="6"/>
        <v>1874.9999999999998</v>
      </c>
      <c r="L72" s="85">
        <f t="shared" si="1"/>
        <v>2812.4999999999995</v>
      </c>
      <c r="M72" s="77"/>
      <c r="O72" s="81">
        <f t="shared" si="2"/>
        <v>449.99999999999994</v>
      </c>
      <c r="P72" s="85">
        <f t="shared" si="3"/>
        <v>449.99999999999989</v>
      </c>
      <c r="Q72" s="84"/>
      <c r="R72" s="84"/>
      <c r="S72" s="17">
        <f t="shared" si="4"/>
        <v>21.333333333333332</v>
      </c>
      <c r="T72" s="85">
        <f t="shared" si="5"/>
        <v>1200</v>
      </c>
      <c r="AA72" s="77"/>
    </row>
    <row r="73" spans="1:27" x14ac:dyDescent="0.2">
      <c r="A73" s="31"/>
      <c r="B73" s="54" t="s">
        <v>53</v>
      </c>
      <c r="C73" s="62" t="s">
        <v>68</v>
      </c>
      <c r="D73" s="43">
        <v>3</v>
      </c>
      <c r="E73" s="43">
        <v>14</v>
      </c>
      <c r="F73" s="64" t="s">
        <v>67</v>
      </c>
      <c r="G73" s="65">
        <f>180/600</f>
        <v>0.3</v>
      </c>
      <c r="H73" s="35">
        <f t="shared" si="7"/>
        <v>180</v>
      </c>
      <c r="I73" s="19">
        <v>600</v>
      </c>
      <c r="K73" s="81">
        <f t="shared" si="6"/>
        <v>333.33333333333337</v>
      </c>
      <c r="L73" s="85">
        <f t="shared" si="1"/>
        <v>500.00000000000006</v>
      </c>
      <c r="M73" s="77"/>
      <c r="O73" s="81">
        <f t="shared" si="2"/>
        <v>80</v>
      </c>
      <c r="P73" s="85">
        <f t="shared" si="3"/>
        <v>80</v>
      </c>
      <c r="Q73" s="84"/>
      <c r="R73" s="84"/>
      <c r="S73" s="17">
        <f t="shared" si="4"/>
        <v>120</v>
      </c>
      <c r="T73" s="85">
        <f t="shared" si="5"/>
        <v>1200</v>
      </c>
      <c r="AA73" s="77"/>
    </row>
    <row r="74" spans="1:27" ht="15" customHeight="1" x14ac:dyDescent="0.25">
      <c r="A74" s="32"/>
      <c r="B74" s="54" t="s">
        <v>53</v>
      </c>
      <c r="C74" s="62" t="s">
        <v>68</v>
      </c>
      <c r="D74" s="43">
        <v>3</v>
      </c>
      <c r="E74" s="43">
        <v>19</v>
      </c>
      <c r="F74" s="64" t="s">
        <v>8</v>
      </c>
      <c r="G74" s="65">
        <f>370/600</f>
        <v>0.6166666666666667</v>
      </c>
      <c r="H74" s="35">
        <f t="shared" si="7"/>
        <v>370</v>
      </c>
      <c r="I74" s="19">
        <v>600</v>
      </c>
      <c r="K74" s="81">
        <f t="shared" si="6"/>
        <v>162.16216216216216</v>
      </c>
      <c r="L74" s="85">
        <f t="shared" si="1"/>
        <v>243.24324324324323</v>
      </c>
      <c r="M74" s="77"/>
      <c r="O74" s="81">
        <f t="shared" si="2"/>
        <v>38.918918918918919</v>
      </c>
      <c r="P74" s="85">
        <f t="shared" si="3"/>
        <v>38.918918918918919</v>
      </c>
      <c r="Q74" s="84"/>
      <c r="R74" s="84"/>
      <c r="S74" s="17">
        <f t="shared" si="4"/>
        <v>246.66666666666666</v>
      </c>
      <c r="T74" s="85">
        <f t="shared" si="5"/>
        <v>1200</v>
      </c>
      <c r="AA74" s="77"/>
    </row>
    <row r="75" spans="1:27" x14ac:dyDescent="0.2">
      <c r="A75" s="31"/>
      <c r="B75" s="54" t="s">
        <v>53</v>
      </c>
      <c r="C75" s="62" t="s">
        <v>68</v>
      </c>
      <c r="D75" s="43">
        <v>3</v>
      </c>
      <c r="E75" s="43">
        <v>16</v>
      </c>
      <c r="F75" s="64" t="s">
        <v>9</v>
      </c>
      <c r="G75" s="65">
        <f>640/600</f>
        <v>1.0666666666666667</v>
      </c>
      <c r="H75" s="35">
        <f t="shared" si="7"/>
        <v>640</v>
      </c>
      <c r="I75" s="19">
        <v>600</v>
      </c>
      <c r="K75" s="81">
        <f t="shared" si="6"/>
        <v>93.75</v>
      </c>
      <c r="L75" s="85">
        <f t="shared" si="1"/>
        <v>140.625</v>
      </c>
      <c r="M75" s="77"/>
      <c r="O75" s="81">
        <f t="shared" si="2"/>
        <v>22.5</v>
      </c>
      <c r="P75" s="85">
        <f t="shared" si="3"/>
        <v>22.5</v>
      </c>
      <c r="Q75" s="84"/>
      <c r="R75" s="84"/>
      <c r="S75" s="17">
        <f t="shared" si="4"/>
        <v>426.66666666666669</v>
      </c>
      <c r="T75" s="85">
        <f t="shared" si="5"/>
        <v>1200</v>
      </c>
      <c r="AA75" s="77"/>
    </row>
    <row r="76" spans="1:27" x14ac:dyDescent="0.2">
      <c r="A76" s="31"/>
      <c r="B76" s="54" t="s">
        <v>53</v>
      </c>
      <c r="C76" s="62" t="s">
        <v>68</v>
      </c>
      <c r="D76" s="43">
        <v>3</v>
      </c>
      <c r="E76" s="43">
        <v>25</v>
      </c>
      <c r="F76" s="64" t="s">
        <v>10</v>
      </c>
      <c r="G76" s="65">
        <f>1380/600</f>
        <v>2.2999999999999998</v>
      </c>
      <c r="H76" s="35">
        <f t="shared" si="7"/>
        <v>1380</v>
      </c>
      <c r="I76" s="19">
        <v>600</v>
      </c>
      <c r="K76" s="81">
        <f t="shared" si="6"/>
        <v>43.478260869565219</v>
      </c>
      <c r="L76" s="85">
        <f t="shared" si="1"/>
        <v>65.217391304347828</v>
      </c>
      <c r="M76" s="77"/>
      <c r="O76" s="81">
        <f t="shared" si="2"/>
        <v>10.434782608695652</v>
      </c>
      <c r="P76" s="85">
        <f t="shared" si="3"/>
        <v>10.434782608695654</v>
      </c>
      <c r="Q76" s="84"/>
      <c r="R76" s="84"/>
      <c r="S76" s="17">
        <f t="shared" si="4"/>
        <v>920</v>
      </c>
      <c r="T76" s="85">
        <f t="shared" si="5"/>
        <v>1200</v>
      </c>
      <c r="AA76" s="77"/>
    </row>
    <row r="77" spans="1:27" x14ac:dyDescent="0.2">
      <c r="A77" s="31"/>
      <c r="B77" s="54" t="s">
        <v>53</v>
      </c>
      <c r="C77" s="62" t="s">
        <v>68</v>
      </c>
      <c r="D77" s="43">
        <v>3</v>
      </c>
      <c r="E77" s="43">
        <v>24</v>
      </c>
      <c r="F77" s="64" t="s">
        <v>17</v>
      </c>
      <c r="G77" s="65">
        <f>2200/600</f>
        <v>3.6666666666666665</v>
      </c>
      <c r="H77" s="35">
        <f t="shared" ref="H77:H108" si="8">G77*$E$11</f>
        <v>2200</v>
      </c>
      <c r="I77" s="19">
        <v>600</v>
      </c>
      <c r="K77" s="81">
        <f t="shared" si="6"/>
        <v>27.272727272727273</v>
      </c>
      <c r="L77" s="85">
        <f t="shared" si="1"/>
        <v>40.909090909090907</v>
      </c>
      <c r="M77" s="77"/>
      <c r="O77" s="81">
        <f t="shared" si="2"/>
        <v>6.5454545454545459</v>
      </c>
      <c r="P77" s="85">
        <f t="shared" si="3"/>
        <v>6.5454545454545459</v>
      </c>
      <c r="Q77" s="84"/>
      <c r="R77" s="84"/>
      <c r="S77" s="17">
        <f t="shared" si="4"/>
        <v>1466.6666666666667</v>
      </c>
      <c r="T77" s="85">
        <f t="shared" si="5"/>
        <v>1200</v>
      </c>
      <c r="AA77" s="77"/>
    </row>
    <row r="78" spans="1:27" x14ac:dyDescent="0.2">
      <c r="A78" s="31"/>
      <c r="B78" s="54" t="s">
        <v>53</v>
      </c>
      <c r="C78" s="62" t="s">
        <v>68</v>
      </c>
      <c r="D78" s="43">
        <v>3</v>
      </c>
      <c r="E78" s="43">
        <v>17</v>
      </c>
      <c r="F78" s="64" t="s">
        <v>11</v>
      </c>
      <c r="G78" s="65">
        <f>2160/600</f>
        <v>3.6</v>
      </c>
      <c r="H78" s="35">
        <f t="shared" si="8"/>
        <v>2160</v>
      </c>
      <c r="I78" s="19">
        <v>600</v>
      </c>
      <c r="K78" s="81">
        <f t="shared" si="6"/>
        <v>27.777777777777779</v>
      </c>
      <c r="L78" s="85">
        <f t="shared" si="1"/>
        <v>41.666666666666671</v>
      </c>
      <c r="M78" s="77"/>
      <c r="O78" s="81">
        <f t="shared" si="2"/>
        <v>6.6666666666666661</v>
      </c>
      <c r="P78" s="85">
        <f t="shared" si="3"/>
        <v>6.6666666666666661</v>
      </c>
      <c r="Q78" s="84"/>
      <c r="R78" s="84"/>
      <c r="S78" s="17">
        <f t="shared" si="4"/>
        <v>1440</v>
      </c>
      <c r="T78" s="85">
        <f t="shared" si="5"/>
        <v>1200</v>
      </c>
      <c r="AA78" s="77"/>
    </row>
    <row r="79" spans="1:27" x14ac:dyDescent="0.2">
      <c r="A79" s="31"/>
      <c r="B79" s="54" t="s">
        <v>53</v>
      </c>
      <c r="C79" s="62" t="s">
        <v>68</v>
      </c>
      <c r="D79" s="43">
        <v>3</v>
      </c>
      <c r="E79" s="43">
        <v>18</v>
      </c>
      <c r="F79" s="64" t="s">
        <v>12</v>
      </c>
      <c r="G79" s="65">
        <f>2400/600</f>
        <v>4</v>
      </c>
      <c r="H79" s="35">
        <f t="shared" si="8"/>
        <v>2400</v>
      </c>
      <c r="I79" s="19">
        <v>600</v>
      </c>
      <c r="K79" s="81">
        <f t="shared" si="6"/>
        <v>25</v>
      </c>
      <c r="L79" s="85">
        <f t="shared" si="1"/>
        <v>37.5</v>
      </c>
      <c r="M79" s="77"/>
      <c r="O79" s="81">
        <f t="shared" si="2"/>
        <v>6</v>
      </c>
      <c r="P79" s="85">
        <f t="shared" si="3"/>
        <v>6</v>
      </c>
      <c r="Q79" s="84"/>
      <c r="R79" s="84"/>
      <c r="S79" s="17">
        <f t="shared" si="4"/>
        <v>1600</v>
      </c>
      <c r="T79" s="85">
        <f t="shared" si="5"/>
        <v>1200</v>
      </c>
      <c r="AA79" s="77"/>
    </row>
    <row r="80" spans="1:27" x14ac:dyDescent="0.2">
      <c r="A80" s="31"/>
      <c r="B80" s="54" t="s">
        <v>53</v>
      </c>
      <c r="C80" s="62" t="s">
        <v>69</v>
      </c>
      <c r="D80" s="43">
        <v>3</v>
      </c>
      <c r="E80" s="43">
        <v>15</v>
      </c>
      <c r="F80" s="64" t="s">
        <v>16</v>
      </c>
      <c r="G80" s="65">
        <f>1340/600</f>
        <v>2.2333333333333334</v>
      </c>
      <c r="H80" s="35">
        <f t="shared" si="8"/>
        <v>1340</v>
      </c>
      <c r="I80" s="19">
        <v>600</v>
      </c>
      <c r="K80" s="81">
        <f t="shared" si="6"/>
        <v>44.776119402985074</v>
      </c>
      <c r="L80" s="85">
        <f t="shared" si="1"/>
        <v>67.164179104477611</v>
      </c>
      <c r="M80" s="77"/>
      <c r="O80" s="81">
        <f t="shared" si="2"/>
        <v>10.746268656716417</v>
      </c>
      <c r="P80" s="85">
        <f t="shared" si="3"/>
        <v>10.746268656716417</v>
      </c>
      <c r="Q80" s="84"/>
      <c r="R80" s="84"/>
      <c r="S80" s="17">
        <f t="shared" si="4"/>
        <v>893.33333333333337</v>
      </c>
      <c r="T80" s="85">
        <f t="shared" si="5"/>
        <v>1200</v>
      </c>
      <c r="AA80" s="77"/>
    </row>
    <row r="81" spans="1:27" s="26" customFormat="1" ht="11.25" x14ac:dyDescent="0.2">
      <c r="A81" s="25"/>
      <c r="B81" s="54" t="s">
        <v>53</v>
      </c>
      <c r="C81" s="62" t="s">
        <v>69</v>
      </c>
      <c r="D81" s="43">
        <v>3</v>
      </c>
      <c r="E81" s="43">
        <v>24</v>
      </c>
      <c r="F81" s="64" t="s">
        <v>17</v>
      </c>
      <c r="G81" s="65">
        <f>2200/600</f>
        <v>3.6666666666666665</v>
      </c>
      <c r="H81" s="35">
        <f t="shared" si="8"/>
        <v>2200</v>
      </c>
      <c r="I81" s="19">
        <v>600</v>
      </c>
      <c r="K81" s="81">
        <f t="shared" si="6"/>
        <v>27.272727272727273</v>
      </c>
      <c r="L81" s="85">
        <f t="shared" si="1"/>
        <v>40.909090909090907</v>
      </c>
      <c r="M81" s="77"/>
      <c r="O81" s="81">
        <f t="shared" si="2"/>
        <v>6.5454545454545459</v>
      </c>
      <c r="P81" s="85">
        <f t="shared" si="3"/>
        <v>6.5454545454545459</v>
      </c>
      <c r="Q81" s="84"/>
      <c r="R81" s="84"/>
      <c r="S81" s="17">
        <f t="shared" si="4"/>
        <v>1466.6666666666667</v>
      </c>
      <c r="T81" s="85">
        <f t="shared" si="5"/>
        <v>1200</v>
      </c>
      <c r="AA81" s="77"/>
    </row>
    <row r="82" spans="1:27" s="26" customFormat="1" ht="11.25" x14ac:dyDescent="0.2">
      <c r="B82" s="54" t="s">
        <v>53</v>
      </c>
      <c r="C82" s="66" t="s">
        <v>28</v>
      </c>
      <c r="D82" s="66">
        <v>2</v>
      </c>
      <c r="E82" s="46">
        <v>26</v>
      </c>
      <c r="F82" s="49" t="s">
        <v>29</v>
      </c>
      <c r="G82" s="60">
        <f>3000/265</f>
        <v>11.320754716981131</v>
      </c>
      <c r="H82" s="35">
        <f t="shared" si="8"/>
        <v>6792.4528301886785</v>
      </c>
      <c r="I82" s="19">
        <v>265</v>
      </c>
      <c r="K82" s="81">
        <f t="shared" si="6"/>
        <v>8.8333333333333339</v>
      </c>
      <c r="L82" s="85">
        <f t="shared" si="1"/>
        <v>8.8333333333333339</v>
      </c>
      <c r="M82" s="77"/>
      <c r="O82" s="81">
        <f t="shared" si="2"/>
        <v>2.12</v>
      </c>
      <c r="P82" s="85">
        <f t="shared" si="3"/>
        <v>1.4133333333333336</v>
      </c>
      <c r="Q82" s="84"/>
      <c r="R82" s="84"/>
      <c r="S82" s="17">
        <f t="shared" si="4"/>
        <v>4528.301886792452</v>
      </c>
      <c r="T82" s="85">
        <f t="shared" si="5"/>
        <v>800</v>
      </c>
      <c r="AA82" s="77"/>
    </row>
    <row r="83" spans="1:27" s="26" customFormat="1" ht="15" customHeight="1" x14ac:dyDescent="0.25">
      <c r="A83"/>
      <c r="B83" s="54" t="s">
        <v>53</v>
      </c>
      <c r="C83" s="67" t="s">
        <v>28</v>
      </c>
      <c r="D83" s="67">
        <v>2</v>
      </c>
      <c r="E83" s="49">
        <v>73</v>
      </c>
      <c r="F83" s="49" t="s">
        <v>30</v>
      </c>
      <c r="G83" s="60">
        <f>6000/265</f>
        <v>22.641509433962263</v>
      </c>
      <c r="H83" s="35">
        <f t="shared" si="8"/>
        <v>13584.905660377357</v>
      </c>
      <c r="I83" s="19">
        <v>265</v>
      </c>
      <c r="K83" s="81">
        <f t="shared" ref="K83:K111" si="9">$K$11/G83</f>
        <v>4.416666666666667</v>
      </c>
      <c r="L83" s="85">
        <f t="shared" ref="L83:L111" si="10">(D83*K83*$L$11)/60</f>
        <v>4.416666666666667</v>
      </c>
      <c r="M83" s="77"/>
      <c r="O83" s="81">
        <f t="shared" ref="O83:O111" si="11">($P$11/($N$11/60))/G83</f>
        <v>1.06</v>
      </c>
      <c r="P83" s="85">
        <f t="shared" ref="P83:P111" si="12">($N$11*O83*D83*$O$11)/60</f>
        <v>0.70666666666666678</v>
      </c>
      <c r="Q83" s="84"/>
      <c r="R83" s="84"/>
      <c r="S83" s="17">
        <f t="shared" ref="S83:S111" si="13">($R$11*G83*$S$11)/60</f>
        <v>9056.603773584904</v>
      </c>
      <c r="T83" s="85">
        <f t="shared" ref="T83:T111" si="14">($R$11*D83*$S$11*$T$11)/60</f>
        <v>800</v>
      </c>
      <c r="AA83" s="77"/>
    </row>
    <row r="84" spans="1:27" s="26" customFormat="1" ht="11.25" x14ac:dyDescent="0.2">
      <c r="B84" s="54" t="s">
        <v>53</v>
      </c>
      <c r="C84" s="67" t="s">
        <v>28</v>
      </c>
      <c r="D84" s="67">
        <v>2</v>
      </c>
      <c r="E84" s="49">
        <v>82</v>
      </c>
      <c r="F84" s="49" t="s">
        <v>31</v>
      </c>
      <c r="G84" s="60">
        <f>10500/265</f>
        <v>39.622641509433961</v>
      </c>
      <c r="H84" s="35">
        <f t="shared" si="8"/>
        <v>23773.584905660377</v>
      </c>
      <c r="I84" s="19">
        <v>265</v>
      </c>
      <c r="K84" s="81">
        <f t="shared" si="9"/>
        <v>2.5238095238095237</v>
      </c>
      <c r="L84" s="85">
        <f>(D84*K84*$L$11)/60</f>
        <v>2.5238095238095237</v>
      </c>
      <c r="M84" s="77"/>
      <c r="O84" s="81">
        <f t="shared" si="11"/>
        <v>0.60571428571428576</v>
      </c>
      <c r="P84" s="85">
        <f t="shared" si="12"/>
        <v>0.40380952380952384</v>
      </c>
      <c r="Q84" s="84"/>
      <c r="R84" s="84"/>
      <c r="S84" s="17">
        <f t="shared" si="13"/>
        <v>15849.056603773584</v>
      </c>
      <c r="T84" s="85">
        <f t="shared" si="14"/>
        <v>800</v>
      </c>
      <c r="AA84" s="77"/>
    </row>
    <row r="85" spans="1:27" s="26" customFormat="1" ht="11.25" x14ac:dyDescent="0.2">
      <c r="B85" s="54" t="s">
        <v>53</v>
      </c>
      <c r="C85" s="67" t="s">
        <v>28</v>
      </c>
      <c r="D85" s="67">
        <v>2</v>
      </c>
      <c r="E85" s="49">
        <v>184</v>
      </c>
      <c r="F85" s="49" t="s">
        <v>32</v>
      </c>
      <c r="G85" s="60">
        <f>15000/265</f>
        <v>56.60377358490566</v>
      </c>
      <c r="H85" s="35">
        <f t="shared" si="8"/>
        <v>33962.264150943396</v>
      </c>
      <c r="I85" s="19">
        <v>265</v>
      </c>
      <c r="K85" s="81">
        <f t="shared" si="9"/>
        <v>1.7666666666666666</v>
      </c>
      <c r="L85" s="85">
        <f t="shared" si="10"/>
        <v>1.7666666666666666</v>
      </c>
      <c r="M85" s="77"/>
      <c r="O85" s="81">
        <f t="shared" si="11"/>
        <v>0.42399999999999999</v>
      </c>
      <c r="P85" s="85">
        <f t="shared" si="12"/>
        <v>0.28266666666666668</v>
      </c>
      <c r="Q85" s="84"/>
      <c r="R85" s="84"/>
      <c r="S85" s="17">
        <f t="shared" si="13"/>
        <v>22641.509433962266</v>
      </c>
      <c r="T85" s="85">
        <f t="shared" si="14"/>
        <v>800</v>
      </c>
      <c r="AA85" s="77"/>
    </row>
    <row r="86" spans="1:27" s="26" customFormat="1" ht="11.25" x14ac:dyDescent="0.2">
      <c r="B86" s="54" t="s">
        <v>53</v>
      </c>
      <c r="C86" s="67" t="s">
        <v>33</v>
      </c>
      <c r="D86" s="68">
        <v>2</v>
      </c>
      <c r="E86" s="49">
        <v>186</v>
      </c>
      <c r="F86" s="49" t="s">
        <v>34</v>
      </c>
      <c r="G86" s="60">
        <f>9500/265</f>
        <v>35.849056603773583</v>
      </c>
      <c r="H86" s="35">
        <f t="shared" si="8"/>
        <v>21509.433962264149</v>
      </c>
      <c r="I86" s="19">
        <v>265</v>
      </c>
      <c r="K86" s="81">
        <f t="shared" si="9"/>
        <v>2.7894736842105265</v>
      </c>
      <c r="L86" s="85">
        <f t="shared" si="10"/>
        <v>2.7894736842105265</v>
      </c>
      <c r="M86" s="77"/>
      <c r="O86" s="81">
        <f t="shared" si="11"/>
        <v>0.66947368421052633</v>
      </c>
      <c r="P86" s="85">
        <f t="shared" si="12"/>
        <v>0.44631578947368422</v>
      </c>
      <c r="Q86" s="84"/>
      <c r="R86" s="84"/>
      <c r="S86" s="17">
        <f t="shared" si="13"/>
        <v>14339.622641509433</v>
      </c>
      <c r="T86" s="85">
        <f t="shared" si="14"/>
        <v>800</v>
      </c>
      <c r="AA86" s="77"/>
    </row>
    <row r="87" spans="1:27" s="26" customFormat="1" ht="11.25" x14ac:dyDescent="0.2">
      <c r="B87" s="54" t="s">
        <v>53</v>
      </c>
      <c r="C87" s="67" t="s">
        <v>33</v>
      </c>
      <c r="D87" s="68">
        <v>2</v>
      </c>
      <c r="E87" s="67">
        <v>188</v>
      </c>
      <c r="F87" s="67" t="s">
        <v>35</v>
      </c>
      <c r="G87" s="65">
        <f>17000/265</f>
        <v>64.15094339622641</v>
      </c>
      <c r="H87" s="35">
        <f t="shared" si="8"/>
        <v>38490.566037735844</v>
      </c>
      <c r="I87" s="19">
        <v>265</v>
      </c>
      <c r="K87" s="81">
        <f t="shared" si="9"/>
        <v>1.5588235294117649</v>
      </c>
      <c r="L87" s="85">
        <f t="shared" si="10"/>
        <v>1.5588235294117649</v>
      </c>
      <c r="M87" s="77"/>
      <c r="O87" s="81">
        <f t="shared" si="11"/>
        <v>0.37411764705882355</v>
      </c>
      <c r="P87" s="85">
        <f t="shared" si="12"/>
        <v>0.24941176470588236</v>
      </c>
      <c r="Q87" s="84"/>
      <c r="R87" s="84"/>
      <c r="S87" s="17">
        <f t="shared" si="13"/>
        <v>25660.377358490561</v>
      </c>
      <c r="T87" s="85">
        <f t="shared" si="14"/>
        <v>800</v>
      </c>
      <c r="AA87" s="77"/>
    </row>
    <row r="88" spans="1:27" s="26" customFormat="1" ht="11.25" x14ac:dyDescent="0.2">
      <c r="B88" s="54" t="s">
        <v>53</v>
      </c>
      <c r="C88" s="43" t="s">
        <v>36</v>
      </c>
      <c r="D88" s="43">
        <v>4</v>
      </c>
      <c r="E88" s="43">
        <v>186</v>
      </c>
      <c r="F88" s="43" t="s">
        <v>37</v>
      </c>
      <c r="G88" s="44">
        <f>8500/265</f>
        <v>32.075471698113205</v>
      </c>
      <c r="H88" s="35">
        <f t="shared" si="8"/>
        <v>19245.283018867922</v>
      </c>
      <c r="I88" s="27">
        <v>265</v>
      </c>
      <c r="K88" s="81">
        <f t="shared" si="9"/>
        <v>3.1176470588235299</v>
      </c>
      <c r="L88" s="85">
        <f t="shared" si="10"/>
        <v>6.2352941176470598</v>
      </c>
      <c r="M88" s="77"/>
      <c r="O88" s="81">
        <f t="shared" si="11"/>
        <v>0.74823529411764711</v>
      </c>
      <c r="P88" s="85">
        <f t="shared" si="12"/>
        <v>0.99764705882352944</v>
      </c>
      <c r="Q88" s="84"/>
      <c r="R88" s="84"/>
      <c r="S88" s="17">
        <f t="shared" si="13"/>
        <v>12830.188679245281</v>
      </c>
      <c r="T88" s="85">
        <f t="shared" si="14"/>
        <v>1600</v>
      </c>
      <c r="AA88" s="77"/>
    </row>
    <row r="89" spans="1:27" s="26" customFormat="1" ht="15" customHeight="1" x14ac:dyDescent="0.25">
      <c r="A89" s="34"/>
      <c r="B89" s="54" t="s">
        <v>53</v>
      </c>
      <c r="C89" s="43" t="s">
        <v>38</v>
      </c>
      <c r="D89" s="69">
        <v>6</v>
      </c>
      <c r="E89" s="43">
        <v>188</v>
      </c>
      <c r="F89" s="43" t="s">
        <v>35</v>
      </c>
      <c r="G89" s="44">
        <f>14000/265</f>
        <v>52.830188679245282</v>
      </c>
      <c r="H89" s="35">
        <f t="shared" si="8"/>
        <v>31698.113207547169</v>
      </c>
      <c r="I89" s="27">
        <v>265</v>
      </c>
      <c r="K89" s="81">
        <f t="shared" si="9"/>
        <v>1.8928571428571428</v>
      </c>
      <c r="L89" s="85">
        <f t="shared" si="10"/>
        <v>5.6785714285714288</v>
      </c>
      <c r="M89" s="77"/>
      <c r="O89" s="81">
        <f t="shared" si="11"/>
        <v>0.45428571428571429</v>
      </c>
      <c r="P89" s="85">
        <f t="shared" si="12"/>
        <v>0.90857142857142859</v>
      </c>
      <c r="Q89" s="84"/>
      <c r="R89" s="84"/>
      <c r="S89" s="17">
        <f t="shared" si="13"/>
        <v>21132.075471698114</v>
      </c>
      <c r="T89" s="85">
        <f t="shared" si="14"/>
        <v>2400</v>
      </c>
      <c r="AA89" s="77"/>
    </row>
    <row r="90" spans="1:27" s="26" customFormat="1" ht="15" customHeight="1" x14ac:dyDescent="0.25">
      <c r="A90" s="32"/>
      <c r="B90" s="54" t="s">
        <v>53</v>
      </c>
      <c r="C90" s="43" t="s">
        <v>38</v>
      </c>
      <c r="D90" s="43">
        <v>6</v>
      </c>
      <c r="E90" s="43">
        <v>185</v>
      </c>
      <c r="F90" s="43" t="s">
        <v>39</v>
      </c>
      <c r="G90" s="44">
        <f>4500/265</f>
        <v>16.981132075471699</v>
      </c>
      <c r="H90" s="35">
        <f t="shared" si="8"/>
        <v>10188.67924528302</v>
      </c>
      <c r="I90" s="27">
        <v>265</v>
      </c>
      <c r="K90" s="81">
        <f t="shared" si="9"/>
        <v>5.8888888888888884</v>
      </c>
      <c r="L90" s="85">
        <f t="shared" si="10"/>
        <v>17.666666666666664</v>
      </c>
      <c r="M90" s="77"/>
      <c r="O90" s="81">
        <f t="shared" si="11"/>
        <v>1.4133333333333333</v>
      </c>
      <c r="P90" s="85">
        <f t="shared" si="12"/>
        <v>2.8266666666666667</v>
      </c>
      <c r="Q90" s="84"/>
      <c r="R90" s="84"/>
      <c r="S90" s="17">
        <f t="shared" si="13"/>
        <v>6792.4528301886794</v>
      </c>
      <c r="T90" s="85">
        <f t="shared" si="14"/>
        <v>2400</v>
      </c>
      <c r="AA90" s="77"/>
    </row>
    <row r="91" spans="1:27" s="26" customFormat="1" ht="11.25" x14ac:dyDescent="0.2">
      <c r="A91" s="24"/>
      <c r="B91" s="54" t="s">
        <v>53</v>
      </c>
      <c r="C91" s="43" t="s">
        <v>38</v>
      </c>
      <c r="D91" s="43">
        <v>6</v>
      </c>
      <c r="E91" s="43">
        <v>185</v>
      </c>
      <c r="F91" s="43" t="s">
        <v>39</v>
      </c>
      <c r="G91" s="44">
        <f>4500/265</f>
        <v>16.981132075471699</v>
      </c>
      <c r="H91" s="35">
        <f t="shared" si="8"/>
        <v>10188.67924528302</v>
      </c>
      <c r="I91" s="27">
        <v>265</v>
      </c>
      <c r="K91" s="81">
        <f t="shared" si="9"/>
        <v>5.8888888888888884</v>
      </c>
      <c r="L91" s="85">
        <f t="shared" si="10"/>
        <v>17.666666666666664</v>
      </c>
      <c r="M91" s="77"/>
      <c r="O91" s="81">
        <f t="shared" si="11"/>
        <v>1.4133333333333333</v>
      </c>
      <c r="P91" s="85">
        <f t="shared" si="12"/>
        <v>2.8266666666666667</v>
      </c>
      <c r="Q91" s="84"/>
      <c r="R91" s="84"/>
      <c r="S91" s="17">
        <f t="shared" si="13"/>
        <v>6792.4528301886794</v>
      </c>
      <c r="T91" s="85">
        <f t="shared" si="14"/>
        <v>2400</v>
      </c>
      <c r="AA91" s="77"/>
    </row>
    <row r="92" spans="1:27" s="26" customFormat="1" ht="11.25" x14ac:dyDescent="0.2">
      <c r="A92" s="24"/>
      <c r="B92" s="54" t="s">
        <v>53</v>
      </c>
      <c r="C92" s="43" t="s">
        <v>38</v>
      </c>
      <c r="D92" s="43">
        <v>6</v>
      </c>
      <c r="E92" s="43">
        <v>186</v>
      </c>
      <c r="F92" s="43" t="s">
        <v>34</v>
      </c>
      <c r="G92" s="44">
        <f>9000/265</f>
        <v>33.962264150943398</v>
      </c>
      <c r="H92" s="35">
        <f t="shared" si="8"/>
        <v>20377.358490566039</v>
      </c>
      <c r="I92" s="27">
        <v>265</v>
      </c>
      <c r="K92" s="81">
        <f t="shared" si="9"/>
        <v>2.9444444444444442</v>
      </c>
      <c r="L92" s="85">
        <f t="shared" si="10"/>
        <v>8.8333333333333321</v>
      </c>
      <c r="M92" s="77"/>
      <c r="O92" s="81">
        <f t="shared" si="11"/>
        <v>0.70666666666666667</v>
      </c>
      <c r="P92" s="85">
        <f t="shared" si="12"/>
        <v>1.4133333333333333</v>
      </c>
      <c r="Q92" s="84"/>
      <c r="R92" s="84"/>
      <c r="S92" s="17">
        <f t="shared" si="13"/>
        <v>13584.905660377359</v>
      </c>
      <c r="T92" s="85">
        <f t="shared" si="14"/>
        <v>2400</v>
      </c>
      <c r="AA92" s="77"/>
    </row>
    <row r="93" spans="1:27" s="26" customFormat="1" ht="11.25" x14ac:dyDescent="0.2">
      <c r="A93" s="25"/>
      <c r="B93" s="54" t="s">
        <v>53</v>
      </c>
      <c r="C93" s="70" t="s">
        <v>38</v>
      </c>
      <c r="D93" s="70">
        <v>6</v>
      </c>
      <c r="E93" s="70">
        <v>187</v>
      </c>
      <c r="F93" s="70" t="s">
        <v>40</v>
      </c>
      <c r="G93" s="71">
        <f>13500/265</f>
        <v>50.943396226415096</v>
      </c>
      <c r="H93" s="40">
        <f t="shared" si="8"/>
        <v>30566.037735849059</v>
      </c>
      <c r="I93" s="27">
        <v>265</v>
      </c>
      <c r="K93" s="81">
        <f t="shared" si="9"/>
        <v>1.9629629629629628</v>
      </c>
      <c r="L93" s="85">
        <f t="shared" si="10"/>
        <v>5.8888888888888884</v>
      </c>
      <c r="M93" s="77"/>
      <c r="O93" s="81">
        <f t="shared" si="11"/>
        <v>0.47111111111111109</v>
      </c>
      <c r="P93" s="85">
        <f t="shared" si="12"/>
        <v>0.94222222222222218</v>
      </c>
      <c r="Q93" s="84"/>
      <c r="R93" s="84"/>
      <c r="S93" s="17">
        <f t="shared" si="13"/>
        <v>20377.358490566039</v>
      </c>
      <c r="T93" s="85">
        <f t="shared" si="14"/>
        <v>2400</v>
      </c>
      <c r="AA93" s="77"/>
    </row>
    <row r="94" spans="1:27" x14ac:dyDescent="0.2">
      <c r="A94" s="30"/>
      <c r="B94" s="54"/>
      <c r="C94" s="69" t="s">
        <v>70</v>
      </c>
      <c r="D94" s="69">
        <v>4</v>
      </c>
      <c r="E94" s="69" t="s">
        <v>45</v>
      </c>
      <c r="F94" s="69" t="s">
        <v>72</v>
      </c>
      <c r="G94" s="69">
        <f>104/450</f>
        <v>0.2311111111111111</v>
      </c>
      <c r="H94" s="40">
        <f t="shared" si="8"/>
        <v>138.66666666666666</v>
      </c>
      <c r="I94" s="27">
        <v>450</v>
      </c>
      <c r="K94" s="81">
        <f t="shared" si="9"/>
        <v>432.69230769230774</v>
      </c>
      <c r="L94" s="85">
        <f t="shared" si="10"/>
        <v>865.38461538461547</v>
      </c>
      <c r="M94" s="77"/>
      <c r="O94" s="81">
        <f t="shared" si="11"/>
        <v>103.84615384615385</v>
      </c>
      <c r="P94" s="85">
        <f t="shared" si="12"/>
        <v>138.46153846153848</v>
      </c>
      <c r="Q94" s="84"/>
      <c r="R94" s="84"/>
      <c r="S94" s="17">
        <f t="shared" si="13"/>
        <v>92.444444444444429</v>
      </c>
      <c r="T94" s="85">
        <f t="shared" si="14"/>
        <v>1600</v>
      </c>
      <c r="AA94" s="77"/>
    </row>
    <row r="95" spans="1:27" ht="15" customHeight="1" x14ac:dyDescent="0.25">
      <c r="A95" s="32"/>
      <c r="B95" s="54"/>
      <c r="C95" s="69" t="s">
        <v>70</v>
      </c>
      <c r="D95" s="69">
        <v>4</v>
      </c>
      <c r="E95" s="69" t="s">
        <v>45</v>
      </c>
      <c r="F95" s="69" t="s">
        <v>72</v>
      </c>
      <c r="G95" s="69">
        <f>104/450</f>
        <v>0.2311111111111111</v>
      </c>
      <c r="H95" s="40">
        <f t="shared" si="8"/>
        <v>138.66666666666666</v>
      </c>
      <c r="I95" s="27">
        <v>450</v>
      </c>
      <c r="K95" s="81">
        <f t="shared" si="9"/>
        <v>432.69230769230774</v>
      </c>
      <c r="L95" s="85">
        <f t="shared" si="10"/>
        <v>865.38461538461547</v>
      </c>
      <c r="M95" s="77"/>
      <c r="O95" s="81">
        <f t="shared" si="11"/>
        <v>103.84615384615385</v>
      </c>
      <c r="P95" s="85">
        <f t="shared" si="12"/>
        <v>138.46153846153848</v>
      </c>
      <c r="Q95" s="84"/>
      <c r="R95" s="84"/>
      <c r="S95" s="17">
        <f t="shared" si="13"/>
        <v>92.444444444444429</v>
      </c>
      <c r="T95" s="85">
        <f t="shared" si="14"/>
        <v>1600</v>
      </c>
      <c r="AA95" s="77"/>
    </row>
    <row r="96" spans="1:27" x14ac:dyDescent="0.2">
      <c r="A96" s="31"/>
      <c r="B96" s="54"/>
      <c r="C96" s="69" t="s">
        <v>70</v>
      </c>
      <c r="D96" s="69">
        <v>4</v>
      </c>
      <c r="E96" s="69" t="s">
        <v>45</v>
      </c>
      <c r="F96" s="69" t="s">
        <v>72</v>
      </c>
      <c r="G96" s="69">
        <f>104/450</f>
        <v>0.2311111111111111</v>
      </c>
      <c r="H96" s="40">
        <f t="shared" si="8"/>
        <v>138.66666666666666</v>
      </c>
      <c r="I96" s="27">
        <v>450</v>
      </c>
      <c r="K96" s="81">
        <f t="shared" si="9"/>
        <v>432.69230769230774</v>
      </c>
      <c r="L96" s="85">
        <f t="shared" si="10"/>
        <v>865.38461538461547</v>
      </c>
      <c r="M96" s="77"/>
      <c r="O96" s="81">
        <f t="shared" si="11"/>
        <v>103.84615384615385</v>
      </c>
      <c r="P96" s="85">
        <f t="shared" si="12"/>
        <v>138.46153846153848</v>
      </c>
      <c r="Q96" s="84"/>
      <c r="R96" s="84"/>
      <c r="S96" s="17">
        <f t="shared" si="13"/>
        <v>92.444444444444429</v>
      </c>
      <c r="T96" s="85">
        <f t="shared" si="14"/>
        <v>1600</v>
      </c>
      <c r="AA96" s="77"/>
    </row>
    <row r="97" spans="1:27" x14ac:dyDescent="0.2">
      <c r="A97" s="33"/>
      <c r="B97" s="54"/>
      <c r="C97" s="69" t="s">
        <v>70</v>
      </c>
      <c r="D97" s="69">
        <v>4</v>
      </c>
      <c r="E97" s="69" t="s">
        <v>45</v>
      </c>
      <c r="F97" s="69" t="s">
        <v>72</v>
      </c>
      <c r="G97" s="69">
        <f>104/450</f>
        <v>0.2311111111111111</v>
      </c>
      <c r="H97" s="40">
        <f t="shared" si="8"/>
        <v>138.66666666666666</v>
      </c>
      <c r="I97" s="27">
        <v>450</v>
      </c>
      <c r="K97" s="81">
        <f t="shared" si="9"/>
        <v>432.69230769230774</v>
      </c>
      <c r="L97" s="85">
        <f t="shared" si="10"/>
        <v>865.38461538461547</v>
      </c>
      <c r="M97" s="77"/>
      <c r="O97" s="81">
        <f t="shared" si="11"/>
        <v>103.84615384615385</v>
      </c>
      <c r="P97" s="85">
        <f t="shared" si="12"/>
        <v>138.46153846153848</v>
      </c>
      <c r="Q97" s="84"/>
      <c r="R97" s="84"/>
      <c r="S97" s="17">
        <f t="shared" si="13"/>
        <v>92.444444444444429</v>
      </c>
      <c r="T97" s="85">
        <f t="shared" si="14"/>
        <v>1600</v>
      </c>
      <c r="AA97" s="77"/>
    </row>
    <row r="98" spans="1:27" x14ac:dyDescent="0.2">
      <c r="A98" s="30"/>
      <c r="B98" s="54"/>
      <c r="C98" s="69" t="s">
        <v>71</v>
      </c>
      <c r="D98" s="69">
        <v>4</v>
      </c>
      <c r="E98" s="69">
        <v>13</v>
      </c>
      <c r="F98" s="69" t="s">
        <v>66</v>
      </c>
      <c r="G98" s="69">
        <v>0.2311111111111111</v>
      </c>
      <c r="H98" s="40">
        <f t="shared" si="8"/>
        <v>138.66666666666666</v>
      </c>
      <c r="I98" s="27">
        <v>450</v>
      </c>
      <c r="K98" s="81">
        <f t="shared" si="9"/>
        <v>432.69230769230774</v>
      </c>
      <c r="L98" s="85">
        <f t="shared" si="10"/>
        <v>865.38461538461547</v>
      </c>
      <c r="M98" s="77"/>
      <c r="O98" s="81">
        <f t="shared" si="11"/>
        <v>103.84615384615385</v>
      </c>
      <c r="P98" s="85">
        <f t="shared" si="12"/>
        <v>138.46153846153848</v>
      </c>
      <c r="Q98" s="84"/>
      <c r="R98" s="84"/>
      <c r="S98" s="17">
        <f t="shared" si="13"/>
        <v>92.444444444444429</v>
      </c>
      <c r="T98" s="85">
        <f t="shared" si="14"/>
        <v>1600</v>
      </c>
      <c r="AA98" s="77"/>
    </row>
    <row r="99" spans="1:27" x14ac:dyDescent="0.2">
      <c r="A99" s="31"/>
      <c r="B99" s="54"/>
      <c r="C99" s="69" t="s">
        <v>71</v>
      </c>
      <c r="D99" s="69">
        <v>4</v>
      </c>
      <c r="E99" s="69">
        <v>14</v>
      </c>
      <c r="F99" s="69" t="s">
        <v>67</v>
      </c>
      <c r="G99" s="69">
        <v>0.2311111111111111</v>
      </c>
      <c r="H99" s="40">
        <f t="shared" si="8"/>
        <v>138.66666666666666</v>
      </c>
      <c r="I99" s="27">
        <v>450</v>
      </c>
      <c r="K99" s="81">
        <f t="shared" si="9"/>
        <v>432.69230769230774</v>
      </c>
      <c r="L99" s="85">
        <f t="shared" si="10"/>
        <v>865.38461538461547</v>
      </c>
      <c r="M99" s="77"/>
      <c r="O99" s="81">
        <f t="shared" si="11"/>
        <v>103.84615384615385</v>
      </c>
      <c r="P99" s="85">
        <f t="shared" si="12"/>
        <v>138.46153846153848</v>
      </c>
      <c r="Q99" s="84"/>
      <c r="R99" s="84"/>
      <c r="S99" s="17">
        <f t="shared" si="13"/>
        <v>92.444444444444429</v>
      </c>
      <c r="T99" s="85">
        <f t="shared" si="14"/>
        <v>1600</v>
      </c>
      <c r="AA99" s="77"/>
    </row>
    <row r="100" spans="1:27" x14ac:dyDescent="0.2">
      <c r="A100" s="31"/>
      <c r="B100" s="54"/>
      <c r="C100" s="69" t="s">
        <v>71</v>
      </c>
      <c r="D100" s="69">
        <v>4</v>
      </c>
      <c r="E100" s="69">
        <v>19</v>
      </c>
      <c r="F100" s="69" t="s">
        <v>8</v>
      </c>
      <c r="G100" s="69">
        <v>0.2311111111111111</v>
      </c>
      <c r="H100" s="40">
        <f t="shared" si="8"/>
        <v>138.66666666666666</v>
      </c>
      <c r="I100" s="27">
        <v>450</v>
      </c>
      <c r="K100" s="81">
        <f t="shared" si="9"/>
        <v>432.69230769230774</v>
      </c>
      <c r="L100" s="85">
        <f t="shared" si="10"/>
        <v>865.38461538461547</v>
      </c>
      <c r="M100" s="77"/>
      <c r="O100" s="81">
        <f t="shared" si="11"/>
        <v>103.84615384615385</v>
      </c>
      <c r="P100" s="85">
        <f t="shared" si="12"/>
        <v>138.46153846153848</v>
      </c>
      <c r="Q100" s="84"/>
      <c r="R100" s="84"/>
      <c r="S100" s="17">
        <f t="shared" si="13"/>
        <v>92.444444444444429</v>
      </c>
      <c r="T100" s="85">
        <f t="shared" si="14"/>
        <v>1600</v>
      </c>
      <c r="AA100" s="77"/>
    </row>
    <row r="101" spans="1:27" ht="14.25" customHeight="1" x14ac:dyDescent="0.2">
      <c r="A101" s="33"/>
      <c r="B101" s="54"/>
      <c r="C101" s="69" t="s">
        <v>71</v>
      </c>
      <c r="D101" s="69">
        <v>4</v>
      </c>
      <c r="E101" s="69">
        <v>16</v>
      </c>
      <c r="F101" s="69" t="s">
        <v>9</v>
      </c>
      <c r="G101" s="69">
        <f>190/450</f>
        <v>0.42222222222222222</v>
      </c>
      <c r="H101" s="40">
        <f t="shared" si="8"/>
        <v>253.33333333333334</v>
      </c>
      <c r="I101" s="27">
        <v>450</v>
      </c>
      <c r="K101" s="81">
        <f t="shared" si="9"/>
        <v>236.84210526315789</v>
      </c>
      <c r="L101" s="85">
        <f t="shared" si="10"/>
        <v>473.68421052631578</v>
      </c>
      <c r="M101" s="77"/>
      <c r="O101" s="81">
        <f t="shared" si="11"/>
        <v>56.842105263157897</v>
      </c>
      <c r="P101" s="85">
        <f t="shared" si="12"/>
        <v>75.789473684210535</v>
      </c>
      <c r="Q101" s="84"/>
      <c r="R101" s="84"/>
      <c r="S101" s="17">
        <f t="shared" si="13"/>
        <v>168.88888888888889</v>
      </c>
      <c r="T101" s="85">
        <f t="shared" si="14"/>
        <v>1600</v>
      </c>
      <c r="AA101" s="77"/>
    </row>
    <row r="102" spans="1:27" x14ac:dyDescent="0.2">
      <c r="A102" s="30"/>
      <c r="B102" s="72" t="s">
        <v>53</v>
      </c>
      <c r="C102" s="69" t="s">
        <v>73</v>
      </c>
      <c r="D102" s="69">
        <v>4</v>
      </c>
      <c r="E102" s="69" t="s">
        <v>45</v>
      </c>
      <c r="F102" s="69" t="s">
        <v>25</v>
      </c>
      <c r="G102" s="69">
        <f>2.5/100</f>
        <v>2.5000000000000001E-2</v>
      </c>
      <c r="H102" s="40">
        <f t="shared" si="8"/>
        <v>15</v>
      </c>
      <c r="I102" s="27">
        <v>100</v>
      </c>
      <c r="K102" s="81">
        <f t="shared" si="9"/>
        <v>4000</v>
      </c>
      <c r="L102" s="85">
        <f t="shared" si="10"/>
        <v>8000</v>
      </c>
      <c r="M102" s="77"/>
      <c r="O102" s="81">
        <f t="shared" si="11"/>
        <v>960</v>
      </c>
      <c r="P102" s="85">
        <f t="shared" si="12"/>
        <v>1280</v>
      </c>
      <c r="Q102" s="84"/>
      <c r="R102" s="84"/>
      <c r="S102" s="17">
        <f t="shared" si="13"/>
        <v>10</v>
      </c>
      <c r="T102" s="85">
        <f t="shared" si="14"/>
        <v>1600</v>
      </c>
      <c r="AA102" s="77"/>
    </row>
    <row r="103" spans="1:27" ht="15" x14ac:dyDescent="0.25">
      <c r="A103" s="32"/>
      <c r="B103" s="72" t="s">
        <v>53</v>
      </c>
      <c r="C103" s="69" t="s">
        <v>73</v>
      </c>
      <c r="D103" s="69">
        <v>4</v>
      </c>
      <c r="E103" s="69" t="s">
        <v>45</v>
      </c>
      <c r="F103" s="69" t="s">
        <v>24</v>
      </c>
      <c r="G103" s="69">
        <f>10/100</f>
        <v>0.1</v>
      </c>
      <c r="H103" s="40">
        <f t="shared" si="8"/>
        <v>60</v>
      </c>
      <c r="I103" s="27">
        <v>100</v>
      </c>
      <c r="K103" s="81">
        <f t="shared" si="9"/>
        <v>1000</v>
      </c>
      <c r="L103" s="85">
        <f t="shared" si="10"/>
        <v>2000</v>
      </c>
      <c r="M103" s="77"/>
      <c r="O103" s="81">
        <f t="shared" si="11"/>
        <v>240</v>
      </c>
      <c r="P103" s="85">
        <f t="shared" si="12"/>
        <v>320</v>
      </c>
      <c r="Q103" s="84"/>
      <c r="R103" s="84"/>
      <c r="S103" s="17">
        <f t="shared" si="13"/>
        <v>40</v>
      </c>
      <c r="T103" s="85">
        <f t="shared" si="14"/>
        <v>1600</v>
      </c>
      <c r="AA103" s="77"/>
    </row>
    <row r="104" spans="1:27" x14ac:dyDescent="0.2">
      <c r="A104" s="31"/>
      <c r="B104" s="72" t="s">
        <v>53</v>
      </c>
      <c r="C104" s="69" t="s">
        <v>73</v>
      </c>
      <c r="D104" s="69">
        <v>4</v>
      </c>
      <c r="E104" s="69" t="s">
        <v>45</v>
      </c>
      <c r="F104" s="69" t="s">
        <v>23</v>
      </c>
      <c r="G104" s="69">
        <f>23/100</f>
        <v>0.23</v>
      </c>
      <c r="H104" s="40">
        <f t="shared" si="8"/>
        <v>138</v>
      </c>
      <c r="I104" s="27">
        <v>100</v>
      </c>
      <c r="K104" s="81">
        <f t="shared" si="9"/>
        <v>434.78260869565213</v>
      </c>
      <c r="L104" s="85">
        <f t="shared" si="10"/>
        <v>869.56521739130426</v>
      </c>
      <c r="M104" s="77"/>
      <c r="O104" s="81">
        <f t="shared" si="11"/>
        <v>104.34782608695652</v>
      </c>
      <c r="P104" s="85">
        <f t="shared" si="12"/>
        <v>139.13043478260869</v>
      </c>
      <c r="Q104" s="84"/>
      <c r="R104" s="84"/>
      <c r="S104" s="17">
        <f t="shared" si="13"/>
        <v>92</v>
      </c>
      <c r="T104" s="85">
        <f t="shared" si="14"/>
        <v>1600</v>
      </c>
      <c r="AA104" s="77"/>
    </row>
    <row r="105" spans="1:27" x14ac:dyDescent="0.2">
      <c r="A105" s="33"/>
      <c r="B105" s="72" t="s">
        <v>53</v>
      </c>
      <c r="C105" s="69" t="s">
        <v>73</v>
      </c>
      <c r="D105" s="69">
        <v>4</v>
      </c>
      <c r="E105" s="69" t="s">
        <v>45</v>
      </c>
      <c r="F105" s="69" t="s">
        <v>22</v>
      </c>
      <c r="G105" s="69">
        <f>40/100</f>
        <v>0.4</v>
      </c>
      <c r="H105" s="40">
        <f t="shared" si="8"/>
        <v>240</v>
      </c>
      <c r="I105" s="27">
        <v>100</v>
      </c>
      <c r="K105" s="81">
        <f t="shared" si="9"/>
        <v>250</v>
      </c>
      <c r="L105" s="85">
        <f t="shared" si="10"/>
        <v>500</v>
      </c>
      <c r="M105" s="77"/>
      <c r="O105" s="81">
        <f t="shared" si="11"/>
        <v>60</v>
      </c>
      <c r="P105" s="85">
        <f t="shared" si="12"/>
        <v>80</v>
      </c>
      <c r="Q105" s="84"/>
      <c r="R105" s="84"/>
      <c r="S105" s="17">
        <f t="shared" si="13"/>
        <v>160</v>
      </c>
      <c r="T105" s="85">
        <f t="shared" si="14"/>
        <v>1600</v>
      </c>
      <c r="AA105" s="77"/>
    </row>
    <row r="106" spans="1:27" x14ac:dyDescent="0.2">
      <c r="A106" s="30"/>
      <c r="B106" s="72" t="s">
        <v>53</v>
      </c>
      <c r="C106" s="69" t="s">
        <v>73</v>
      </c>
      <c r="D106" s="69">
        <v>8</v>
      </c>
      <c r="E106" s="69" t="s">
        <v>45</v>
      </c>
      <c r="F106" s="69" t="s">
        <v>25</v>
      </c>
      <c r="G106" s="69">
        <f>2.5/100</f>
        <v>2.5000000000000001E-2</v>
      </c>
      <c r="H106" s="40">
        <f t="shared" si="8"/>
        <v>15</v>
      </c>
      <c r="I106" s="27">
        <v>100</v>
      </c>
      <c r="K106" s="81">
        <f t="shared" si="9"/>
        <v>4000</v>
      </c>
      <c r="L106" s="85">
        <f t="shared" si="10"/>
        <v>16000</v>
      </c>
      <c r="M106" s="77"/>
      <c r="O106" s="81">
        <f t="shared" si="11"/>
        <v>960</v>
      </c>
      <c r="P106" s="85">
        <f t="shared" si="12"/>
        <v>2560</v>
      </c>
      <c r="Q106" s="84"/>
      <c r="R106" s="84"/>
      <c r="S106" s="17">
        <f t="shared" si="13"/>
        <v>10</v>
      </c>
      <c r="T106" s="85">
        <f t="shared" si="14"/>
        <v>3200</v>
      </c>
      <c r="AA106" s="77"/>
    </row>
    <row r="107" spans="1:27" ht="15" customHeight="1" x14ac:dyDescent="0.25">
      <c r="A107" s="32"/>
      <c r="B107" s="72" t="s">
        <v>53</v>
      </c>
      <c r="C107" s="69" t="s">
        <v>73</v>
      </c>
      <c r="D107" s="69">
        <v>8</v>
      </c>
      <c r="E107" s="69" t="s">
        <v>45</v>
      </c>
      <c r="F107" s="69" t="s">
        <v>24</v>
      </c>
      <c r="G107" s="69">
        <f>10/100</f>
        <v>0.1</v>
      </c>
      <c r="H107" s="40">
        <f t="shared" si="8"/>
        <v>60</v>
      </c>
      <c r="I107" s="27">
        <v>100</v>
      </c>
      <c r="K107" s="81">
        <f t="shared" si="9"/>
        <v>1000</v>
      </c>
      <c r="L107" s="85">
        <f t="shared" si="10"/>
        <v>4000</v>
      </c>
      <c r="M107" s="77"/>
      <c r="O107" s="81">
        <f t="shared" si="11"/>
        <v>240</v>
      </c>
      <c r="P107" s="85">
        <f t="shared" si="12"/>
        <v>640</v>
      </c>
      <c r="Q107" s="84"/>
      <c r="R107" s="84"/>
      <c r="S107" s="17">
        <f t="shared" si="13"/>
        <v>40</v>
      </c>
      <c r="T107" s="85">
        <f t="shared" si="14"/>
        <v>3200</v>
      </c>
      <c r="AA107" s="77"/>
    </row>
    <row r="108" spans="1:27" x14ac:dyDescent="0.2">
      <c r="A108" s="31"/>
      <c r="B108" s="72" t="s">
        <v>53</v>
      </c>
      <c r="C108" s="69" t="s">
        <v>73</v>
      </c>
      <c r="D108" s="69">
        <v>8</v>
      </c>
      <c r="E108" s="69" t="s">
        <v>45</v>
      </c>
      <c r="F108" s="69" t="s">
        <v>23</v>
      </c>
      <c r="G108" s="69">
        <f>23/100</f>
        <v>0.23</v>
      </c>
      <c r="H108" s="40">
        <f t="shared" si="8"/>
        <v>138</v>
      </c>
      <c r="I108" s="27">
        <v>100</v>
      </c>
      <c r="K108" s="81">
        <f t="shared" si="9"/>
        <v>434.78260869565213</v>
      </c>
      <c r="L108" s="85">
        <f t="shared" si="10"/>
        <v>1739.1304347826085</v>
      </c>
      <c r="M108" s="77"/>
      <c r="O108" s="81">
        <f t="shared" si="11"/>
        <v>104.34782608695652</v>
      </c>
      <c r="P108" s="85">
        <f t="shared" si="12"/>
        <v>278.26086956521738</v>
      </c>
      <c r="Q108" s="84"/>
      <c r="R108" s="84"/>
      <c r="S108" s="17">
        <f t="shared" si="13"/>
        <v>92</v>
      </c>
      <c r="T108" s="85">
        <f t="shared" si="14"/>
        <v>3200</v>
      </c>
      <c r="AA108" s="77"/>
    </row>
    <row r="109" spans="1:27" ht="14.25" customHeight="1" x14ac:dyDescent="0.2">
      <c r="A109" s="33"/>
      <c r="B109" s="72" t="s">
        <v>53</v>
      </c>
      <c r="C109" s="69" t="s">
        <v>73</v>
      </c>
      <c r="D109" s="69">
        <v>8</v>
      </c>
      <c r="E109" s="69" t="s">
        <v>45</v>
      </c>
      <c r="F109" s="69" t="s">
        <v>22</v>
      </c>
      <c r="G109" s="69">
        <f>40/100</f>
        <v>0.4</v>
      </c>
      <c r="H109" s="40">
        <f t="shared" ref="H109:H111" si="15">G109*$E$11</f>
        <v>240</v>
      </c>
      <c r="I109" s="27">
        <v>100</v>
      </c>
      <c r="K109" s="81">
        <f t="shared" si="9"/>
        <v>250</v>
      </c>
      <c r="L109" s="85">
        <f t="shared" si="10"/>
        <v>1000</v>
      </c>
      <c r="M109" s="77"/>
      <c r="O109" s="81">
        <f t="shared" si="11"/>
        <v>60</v>
      </c>
      <c r="P109" s="85">
        <f t="shared" si="12"/>
        <v>160</v>
      </c>
      <c r="Q109" s="84"/>
      <c r="R109" s="84"/>
      <c r="S109" s="17">
        <f t="shared" si="13"/>
        <v>160</v>
      </c>
      <c r="T109" s="85">
        <f t="shared" si="14"/>
        <v>3200</v>
      </c>
      <c r="AA109" s="77"/>
    </row>
    <row r="110" spans="1:27" ht="15" customHeight="1" x14ac:dyDescent="0.25">
      <c r="A110" s="34"/>
      <c r="B110" s="72" t="s">
        <v>53</v>
      </c>
      <c r="C110" s="69" t="s">
        <v>74</v>
      </c>
      <c r="D110" s="69">
        <v>2</v>
      </c>
      <c r="E110" s="69">
        <v>25</v>
      </c>
      <c r="F110" s="69" t="s">
        <v>10</v>
      </c>
      <c r="G110" s="69">
        <f>118/100</f>
        <v>1.18</v>
      </c>
      <c r="H110" s="40">
        <f t="shared" si="15"/>
        <v>708</v>
      </c>
      <c r="I110" s="27">
        <v>100</v>
      </c>
      <c r="K110" s="81">
        <f t="shared" si="9"/>
        <v>84.745762711864415</v>
      </c>
      <c r="L110" s="85">
        <f t="shared" si="10"/>
        <v>84.745762711864415</v>
      </c>
      <c r="M110" s="77"/>
      <c r="O110" s="81">
        <f t="shared" si="11"/>
        <v>20.33898305084746</v>
      </c>
      <c r="P110" s="85">
        <f t="shared" si="12"/>
        <v>13.559322033898306</v>
      </c>
      <c r="Q110" s="84"/>
      <c r="R110" s="84"/>
      <c r="S110" s="17">
        <f t="shared" si="13"/>
        <v>472</v>
      </c>
      <c r="T110" s="85">
        <f t="shared" si="14"/>
        <v>800</v>
      </c>
      <c r="AA110" s="77"/>
    </row>
    <row r="111" spans="1:27" x14ac:dyDescent="0.2">
      <c r="A111" s="29"/>
      <c r="B111" s="72" t="s">
        <v>53</v>
      </c>
      <c r="C111" s="69" t="s">
        <v>74</v>
      </c>
      <c r="D111" s="69">
        <v>2</v>
      </c>
      <c r="E111" s="69">
        <v>17</v>
      </c>
      <c r="F111" s="69" t="s">
        <v>11</v>
      </c>
      <c r="G111" s="69">
        <f>170/100</f>
        <v>1.7</v>
      </c>
      <c r="H111" s="40">
        <f t="shared" si="15"/>
        <v>1020</v>
      </c>
      <c r="I111" s="27">
        <v>100</v>
      </c>
      <c r="K111" s="81">
        <f t="shared" si="9"/>
        <v>58.82352941176471</v>
      </c>
      <c r="L111" s="85">
        <f t="shared" si="10"/>
        <v>58.82352941176471</v>
      </c>
      <c r="M111" s="77"/>
      <c r="O111" s="81">
        <f t="shared" si="11"/>
        <v>14.117647058823529</v>
      </c>
      <c r="P111" s="85">
        <f t="shared" si="12"/>
        <v>9.4117647058823533</v>
      </c>
      <c r="Q111" s="84"/>
      <c r="R111" s="84"/>
      <c r="S111" s="17">
        <f t="shared" si="13"/>
        <v>680</v>
      </c>
      <c r="T111" s="85">
        <f t="shared" si="14"/>
        <v>800</v>
      </c>
      <c r="AA111" s="77"/>
    </row>
    <row r="112" spans="1:27" x14ac:dyDescent="0.2">
      <c r="A112" s="31"/>
      <c r="B112" s="72"/>
      <c r="C112" s="69"/>
      <c r="D112" s="69"/>
      <c r="E112" s="69"/>
      <c r="F112" s="69"/>
      <c r="G112" s="69"/>
      <c r="H112" s="40"/>
      <c r="I112" s="27"/>
      <c r="K112" s="81"/>
      <c r="L112" s="85"/>
      <c r="M112" s="77"/>
      <c r="O112" s="81"/>
      <c r="P112" s="85"/>
      <c r="Q112" s="84"/>
      <c r="R112" s="84"/>
      <c r="S112" s="17"/>
      <c r="T112" s="85"/>
    </row>
    <row r="113" spans="1:20" x14ac:dyDescent="0.2">
      <c r="A113" s="33"/>
      <c r="B113" s="72"/>
      <c r="C113" s="69"/>
      <c r="D113" s="69"/>
      <c r="E113" s="69"/>
      <c r="F113" s="69"/>
      <c r="G113" s="69"/>
      <c r="H113" s="40"/>
      <c r="I113" s="27"/>
      <c r="K113" s="81"/>
      <c r="L113" s="85"/>
      <c r="O113" s="81"/>
      <c r="P113" s="85"/>
      <c r="Q113" s="84"/>
      <c r="R113" s="84"/>
      <c r="S113" s="17"/>
      <c r="T113" s="85"/>
    </row>
  </sheetData>
  <mergeCells count="1">
    <mergeCell ref="G13:G15"/>
  </mergeCells>
  <phoneticPr fontId="11" type="noConversion"/>
  <conditionalFormatting sqref="I18">
    <cfRule type="cellIs" dxfId="3" priority="5" operator="greaterThan">
      <formula>$I$18</formula>
    </cfRule>
  </conditionalFormatting>
  <conditionalFormatting sqref="I18:I93">
    <cfRule type="cellIs" dxfId="2" priority="11" operator="lessThan">
      <formula>$E$11</formula>
    </cfRule>
  </conditionalFormatting>
  <conditionalFormatting sqref="O18">
    <cfRule type="cellIs" dxfId="1" priority="4" operator="greaterThan">
      <formula>"I18"</formula>
    </cfRule>
  </conditionalFormatting>
  <conditionalFormatting sqref="AA18:AA111">
    <cfRule type="cellIs" dxfId="0" priority="6" operator="greaterThan">
      <formula>$I$18</formula>
    </cfRule>
  </conditionalFormatting>
  <hyperlinks>
    <hyperlink ref="B83:B93" r:id="rId1" display="Link" xr:uid="{2AB6C254-34DC-49A8-A596-7F7815F1439D}"/>
    <hyperlink ref="B82" r:id="rId2" xr:uid="{5BEE3DDF-A307-4ACA-9594-A917C8BB8D68}"/>
    <hyperlink ref="B72" r:id="rId3" xr:uid="{2358AB68-B0FF-49A6-86B1-6E509002B54D}"/>
    <hyperlink ref="B64:B71" r:id="rId4" display="Link" xr:uid="{8B6DA1CE-AA34-4C64-8D46-9E827B31BBE8}"/>
    <hyperlink ref="B63" r:id="rId5" xr:uid="{4579C9E8-98AC-4E21-BE6B-06E79F871B30}"/>
    <hyperlink ref="B63:B65" r:id="rId6" display="Link" xr:uid="{357E8651-B7F2-455D-AB4C-7401F20C905D}"/>
    <hyperlink ref="B59:B62" r:id="rId7" display="Link" xr:uid="{0F4511A7-C424-432E-A7B8-D56A536660C2}"/>
    <hyperlink ref="B58" r:id="rId8" xr:uid="{C6E8F42E-6B5D-4472-832D-A9D9DF434336}"/>
    <hyperlink ref="B54:B57" r:id="rId9" display="Link" xr:uid="{68D12CB1-A4CB-4C0F-8947-ED8DCE16F863}"/>
    <hyperlink ref="B53" r:id="rId10" xr:uid="{5F694BB7-5041-4E0C-A3FA-133F78B683DF}"/>
    <hyperlink ref="B46:B52" r:id="rId11" display="Link" xr:uid="{7DB3DE02-AE1C-4D10-9245-51A6C577ADAF}"/>
    <hyperlink ref="B45" r:id="rId12" xr:uid="{71B8BE0E-7412-46DE-8CCF-90C02FAA053B}"/>
    <hyperlink ref="B19:B44" r:id="rId13" display="Link" xr:uid="{D3D16341-3F77-4FF6-B56F-3B9E7F6C3752}"/>
    <hyperlink ref="B18" r:id="rId14" xr:uid="{4DE89D61-9D24-4177-B822-5A13A931720C}"/>
    <hyperlink ref="B110:B112" r:id="rId15" display="Link" xr:uid="{F144DE55-53D5-4453-A034-261E51FDFC5C}"/>
    <hyperlink ref="B109" r:id="rId16" xr:uid="{A3C22F5A-02A0-440A-A045-518E430F92A6}"/>
    <hyperlink ref="B102:B108" r:id="rId17" display="Link" xr:uid="{B210F7A8-4531-4D30-A909-3BE890596E17}"/>
  </hyperlinks>
  <pageMargins left="0.7" right="0.7" top="0.75" bottom="0.75" header="0.3" footer="0.3"/>
  <pageSetup scale="85" orientation="landscape" r:id="rId18"/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B2204-9448-4F0F-86BA-0D752509FA02}">
  <dimension ref="A1"/>
  <sheetViews>
    <sheetView workbookViewId="0">
      <selection activeCell="I30" sqref="I30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a51d9d75-495f-456d-b698-0b61f2ffe9c0" xsi:nil="true"/>
    <lcf76f155ced4ddcb4097134ff3c332f xmlns="a51d9d75-495f-456d-b698-0b61f2ffe9c0">
      <Terms xmlns="http://schemas.microsoft.com/office/infopath/2007/PartnerControls"/>
    </lcf76f155ced4ddcb4097134ff3c332f>
    <TaxCatchAll xmlns="f9500083-6787-4746-806e-1d3f9a63f56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96EF6E1DF0A94B86DAE175DEBF6E98" ma:contentTypeVersion="17" ma:contentTypeDescription="Create a new document." ma:contentTypeScope="" ma:versionID="d8062f01b07b51dfc1d37d83d844135f">
  <xsd:schema xmlns:xsd="http://www.w3.org/2001/XMLSchema" xmlns:xs="http://www.w3.org/2001/XMLSchema" xmlns:p="http://schemas.microsoft.com/office/2006/metadata/properties" xmlns:ns2="f9500083-6787-4746-806e-1d3f9a63f56b" xmlns:ns3="a51d9d75-495f-456d-b698-0b61f2ffe9c0" targetNamespace="http://schemas.microsoft.com/office/2006/metadata/properties" ma:root="true" ma:fieldsID="9c0faf362e8477d3c75a7708e11779f9" ns2:_="" ns3:_="">
    <xsd:import namespace="f9500083-6787-4746-806e-1d3f9a63f56b"/>
    <xsd:import namespace="a51d9d75-495f-456d-b698-0b61f2ffe9c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Statu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00083-6787-4746-806e-1d3f9a63f5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af3fe4a-0279-422d-a014-0f63d6e905b4}" ma:internalName="TaxCatchAll" ma:showField="CatchAllData" ma:web="f9500083-6787-4746-806e-1d3f9a63f5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d9d75-495f-456d-b698-0b61f2ffe9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Status" ma:index="21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9ce613b-835b-49ed-8342-f5ed34d0f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15B70-E2AF-40A5-B288-494BC6FD6F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A99F58-0D58-492D-B575-EAAF0B003D35}">
  <ds:schemaRefs>
    <ds:schemaRef ds:uri="http://www.w3.org/XML/1998/namespace"/>
    <ds:schemaRef ds:uri="http://schemas.microsoft.com/office/infopath/2007/PartnerControls"/>
    <ds:schemaRef ds:uri="http://purl.org/dc/elements/1.1/"/>
    <ds:schemaRef ds:uri="a51d9d75-495f-456d-b698-0b61f2ffe9c0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f9500083-6787-4746-806e-1d3f9a63f56b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E64F1E-1F45-43D2-A327-C0734B2F0D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500083-6787-4746-806e-1d3f9a63f56b"/>
    <ds:schemaRef ds:uri="a51d9d75-495f-456d-b698-0b61f2ffe9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PERISTALTIC PUMP TUBING SIZE </vt:lpstr>
      <vt:lpstr>TUBE GUIDE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Magnuski</dc:creator>
  <cp:lastModifiedBy>Adam Magnuski</cp:lastModifiedBy>
  <cp:lastPrinted>2022-05-20T14:23:40Z</cp:lastPrinted>
  <dcterms:created xsi:type="dcterms:W3CDTF">2022-05-20T10:54:54Z</dcterms:created>
  <dcterms:modified xsi:type="dcterms:W3CDTF">2023-10-09T07:55:11Z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0x010100E796EF6E1DF0A94B86DAE175DEBF6E98</vt:lpwstr>
  </property>
  <property fmtid="{D5CDD505-2E9C-101B-9397-08002B2CF9AE}" pid="3" name="MediaServiceImageTags">
    <vt:lpwstr/>
  </property>
</Properties>
</file>